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-105" yWindow="-105" windowWidth="20730" windowHeight="11760" tabRatio="929" activeTab="3"/>
  </bookViews>
  <sheets>
    <sheet name="GRAFIC" sheetId="33" r:id="rId1"/>
    <sheet name="DG - v2" sheetId="65" state="hidden" r:id="rId2"/>
    <sheet name="01-DO" sheetId="6" state="hidden" r:id="rId3"/>
    <sheet name="DG" sheetId="5" r:id="rId4"/>
    <sheet name="DG-cap3" sheetId="54" r:id="rId5"/>
    <sheet name="01-DO Max" sheetId="90" r:id="rId6"/>
    <sheet name="01-LD" sheetId="82" state="hidden" r:id="rId7"/>
    <sheet name="02-LD" sheetId="59" state="hidden" r:id="rId8"/>
    <sheet name="03-DO" sheetId="47" state="hidden" r:id="rId9"/>
    <sheet name="03-LU" sheetId="69" state="hidden" r:id="rId10"/>
    <sheet name="03-LD" sheetId="70" state="hidden" r:id="rId11"/>
    <sheet name="04-DO" sheetId="48" state="hidden" r:id="rId12"/>
    <sheet name="04-LU" sheetId="83" state="hidden" r:id="rId13"/>
    <sheet name="04-LD" sheetId="84" state="hidden" r:id="rId14"/>
    <sheet name="05-DO" sheetId="49" state="hidden" r:id="rId15"/>
    <sheet name="05-LU" sheetId="63" state="hidden" r:id="rId16"/>
    <sheet name="05-LD" sheetId="87" state="hidden" r:id="rId17"/>
    <sheet name="06-DO" sheetId="50" state="hidden" r:id="rId18"/>
    <sheet name="06-LD" sheetId="72" state="hidden" r:id="rId19"/>
    <sheet name="06-LU" sheetId="71" state="hidden" r:id="rId20"/>
    <sheet name="07-DO" sheetId="51" state="hidden" r:id="rId21"/>
    <sheet name="07-LU" sheetId="73" state="hidden" r:id="rId22"/>
    <sheet name="07-LD" sheetId="74" state="hidden" r:id="rId23"/>
    <sheet name="08-DO" sheetId="52" state="hidden" r:id="rId24"/>
    <sheet name="08-LU" sheetId="61" state="hidden" r:id="rId25"/>
    <sheet name="08-LD" sheetId="89" state="hidden" r:id="rId26"/>
    <sheet name="09-DO" sheetId="53" state="hidden" r:id="rId27"/>
    <sheet name="10-DO" sheetId="60" state="hidden" r:id="rId28"/>
    <sheet name="10-LU" sheetId="62" state="hidden" r:id="rId29"/>
    <sheet name="11-DO" sheetId="75" state="hidden" r:id="rId30"/>
    <sheet name="12-DO" sheetId="76" state="hidden" r:id="rId31"/>
    <sheet name="13-DO" sheetId="77" state="hidden" r:id="rId32"/>
    <sheet name="13-LU" sheetId="79" state="hidden" r:id="rId33"/>
    <sheet name="14-DO" sheetId="78" state="hidden" r:id="rId34"/>
    <sheet name="14-LU" sheetId="80" state="hidden" r:id="rId35"/>
    <sheet name="LC-alternativa" sheetId="68" state="hidden" r:id="rId36"/>
    <sheet name="0X-LU" sheetId="43" state="hidden" r:id="rId37"/>
    <sheet name="0X-LD" sheetId="45" state="hidden" r:id="rId38"/>
    <sheet name="Draft-LC" sheetId="41" state="hidden" r:id="rId39"/>
    <sheet name="Alte preturi" sheetId="35" state="hidden" r:id="rId40"/>
    <sheet name="Liste cantitati-auto" sheetId="37" state="hidden" r:id="rId41"/>
    <sheet name="preturi-TeCoIz" sheetId="38" state="hidden" r:id="rId42"/>
    <sheet name="list-TeCoIz" sheetId="39" state="hidden" r:id="rId43"/>
  </sheets>
  <externalReferences>
    <externalReference r:id="rId44"/>
  </externalReferences>
  <definedNames>
    <definedName name="_1_EUR" localSheetId="5">'[1]Devize  UTILITATI si OS'!$H$7</definedName>
    <definedName name="_1_EUR" localSheetId="6">'Alte preturi'!#REF!</definedName>
    <definedName name="_1_EUR" localSheetId="7">'Alte preturi'!#REF!</definedName>
    <definedName name="_1_EUR" localSheetId="8">'Alte preturi'!#REF!</definedName>
    <definedName name="_1_EUR" localSheetId="10">'Alte preturi'!#REF!</definedName>
    <definedName name="_1_EUR" localSheetId="9">'Alte preturi'!#REF!</definedName>
    <definedName name="_1_EUR" localSheetId="11">'Alte preturi'!#REF!</definedName>
    <definedName name="_1_EUR" localSheetId="13">'Alte preturi'!#REF!</definedName>
    <definedName name="_1_EUR" localSheetId="12">'Alte preturi'!#REF!</definedName>
    <definedName name="_1_EUR" localSheetId="14">'Alte preturi'!#REF!</definedName>
    <definedName name="_1_EUR" localSheetId="16">'Alte preturi'!#REF!</definedName>
    <definedName name="_1_EUR" localSheetId="15">'Alte preturi'!#REF!</definedName>
    <definedName name="_1_EUR" localSheetId="17">'Alte preturi'!#REF!</definedName>
    <definedName name="_1_EUR" localSheetId="18">'Alte preturi'!#REF!</definedName>
    <definedName name="_1_EUR" localSheetId="19">'Alte preturi'!#REF!</definedName>
    <definedName name="_1_EUR" localSheetId="20">'Alte preturi'!#REF!</definedName>
    <definedName name="_1_EUR" localSheetId="22">'Alte preturi'!#REF!</definedName>
    <definedName name="_1_EUR" localSheetId="21">'Alte preturi'!#REF!</definedName>
    <definedName name="_1_EUR" localSheetId="23">'Alte preturi'!#REF!</definedName>
    <definedName name="_1_EUR" localSheetId="25">'Alte preturi'!#REF!</definedName>
    <definedName name="_1_EUR" localSheetId="24">'Alte preturi'!#REF!</definedName>
    <definedName name="_1_EUR" localSheetId="26">'Alte preturi'!#REF!</definedName>
    <definedName name="_1_EUR" localSheetId="37">'Alte preturi'!#REF!</definedName>
    <definedName name="_1_EUR" localSheetId="36">'Alte preturi'!#REF!</definedName>
    <definedName name="_1_EUR" localSheetId="27">'Alte preturi'!#REF!</definedName>
    <definedName name="_1_EUR" localSheetId="28">'Alte preturi'!#REF!</definedName>
    <definedName name="_1_EUR" localSheetId="29">'Alte preturi'!#REF!</definedName>
    <definedName name="_1_EUR" localSheetId="30">'Alte preturi'!#REF!</definedName>
    <definedName name="_1_EUR" localSheetId="31">'Alte preturi'!#REF!</definedName>
    <definedName name="_1_EUR" localSheetId="32">'Alte preturi'!#REF!</definedName>
    <definedName name="_1_EUR" localSheetId="33">'Alte preturi'!#REF!</definedName>
    <definedName name="_1_EUR" localSheetId="34">'Alte preturi'!#REF!</definedName>
    <definedName name="_1_EUR" localSheetId="1">'Alte preturi'!#REF!</definedName>
    <definedName name="_1_EUR">'Alte preturi'!#REF!</definedName>
    <definedName name="_xlnm._FilterDatabase" localSheetId="6" hidden="1">'01-LD'!$A$9:$H$22</definedName>
    <definedName name="_xlnm._FilterDatabase" localSheetId="7" hidden="1">'02-LD'!$A$9:$H$24</definedName>
    <definedName name="_xlnm._FilterDatabase" localSheetId="10" hidden="1">'03-LD'!$A$9:$H$27</definedName>
    <definedName name="_xlnm._FilterDatabase" localSheetId="13" hidden="1">'04-LD'!$A$9:$H$36</definedName>
    <definedName name="_xlnm._FilterDatabase" localSheetId="16" hidden="1">'05-LD'!$A$9:$H$31</definedName>
    <definedName name="_xlnm._FilterDatabase" localSheetId="18" hidden="1">'06-LD'!$A$9:$H$63</definedName>
    <definedName name="_xlnm._FilterDatabase" localSheetId="22" hidden="1">'07-LD'!$A$9:$H$22</definedName>
    <definedName name="_xlnm._FilterDatabase" localSheetId="25" hidden="1">'08-LD'!$A$9:$H$33</definedName>
    <definedName name="_xlnm._FilterDatabase" localSheetId="39" hidden="1">'Alte preturi'!$A$1:$G$237</definedName>
    <definedName name="_xlnm._FilterDatabase" localSheetId="38" hidden="1">'Draft-LC'!$B$6:$P$501</definedName>
    <definedName name="_xlnm._FilterDatabase" localSheetId="35" hidden="1">'LC-alternativa'!$A$2:$H$310</definedName>
    <definedName name="banca_curs">'[1]Devize OBIECTE'!$C$6</definedName>
    <definedName name="conexe_santier">'[1]Anexa G1 Grafic'!$J$30</definedName>
    <definedName name="curs">'[1]Deviz GENERAL'!$H$6</definedName>
    <definedName name="data">'[1]Devize OBIECTE'!$G$6</definedName>
    <definedName name="div__TVA">'[1]Deviz GENERAL'!$P$6</definedName>
    <definedName name="eur">'[1]Devize OBIECTE'!$D$6</definedName>
    <definedName name="exterioare">'[1]Anexa G1 Grafic'!$J$25</definedName>
    <definedName name="lista_lucrari">'list-TeCoIz'!$A$1:$A$109</definedName>
    <definedName name="montaj_amb">'[1]Anexa G1 Grafic'!$J$26</definedName>
    <definedName name="montaj_ext">'[1]Anexa G1 Grafic'!#REF!</definedName>
    <definedName name="montaj_lab">'[1]Anexa G1 Grafic'!#REF!</definedName>
    <definedName name="multipl__TVA">'[1]Deviz GENERAL'!$O$6</definedName>
    <definedName name="_xlnm.Print_Area" localSheetId="2">'01-DO'!$B$2:$F$37</definedName>
    <definedName name="_xlnm.Print_Area" localSheetId="5">'01-DO Max'!$B$1:$G$33</definedName>
    <definedName name="_xlnm.Print_Area" localSheetId="6">'01-LD'!$A$1:$H$28</definedName>
    <definedName name="_xlnm.Print_Area" localSheetId="7">'02-LD'!$A$1:$H$30</definedName>
    <definedName name="_xlnm.Print_Area" localSheetId="8">'03-DO'!$B$2:$F$37</definedName>
    <definedName name="_xlnm.Print_Area" localSheetId="10">'03-LD'!$A$1:$H$33</definedName>
    <definedName name="_xlnm.Print_Area" localSheetId="9">'03-LU'!$A$1:$H$24</definedName>
    <definedName name="_xlnm.Print_Area" localSheetId="11">'04-DO'!$B$2:$F$37</definedName>
    <definedName name="_xlnm.Print_Area" localSheetId="13">'04-LD'!$A$1:$H$42</definedName>
    <definedName name="_xlnm.Print_Area" localSheetId="12">'04-LU'!$A$1:$H$24</definedName>
    <definedName name="_xlnm.Print_Area" localSheetId="14">'05-DO'!$B$2:$F$37</definedName>
    <definedName name="_xlnm.Print_Area" localSheetId="16">'05-LD'!$A$1:$H$37</definedName>
    <definedName name="_xlnm.Print_Area" localSheetId="15">'05-LU'!$A$1:$G$20</definedName>
    <definedName name="_xlnm.Print_Area" localSheetId="17">'06-DO'!$B$2:$F$37</definedName>
    <definedName name="_xlnm.Print_Area" localSheetId="18">'06-LD'!$A$1:$H$69</definedName>
    <definedName name="_xlnm.Print_Area" localSheetId="19">'06-LU'!$A$1:$H$27</definedName>
    <definedName name="_xlnm.Print_Area" localSheetId="20">'07-DO'!$B$2:$F$37</definedName>
    <definedName name="_xlnm.Print_Area" localSheetId="22">'07-LD'!$A$1:$H$28</definedName>
    <definedName name="_xlnm.Print_Area" localSheetId="21">'07-LU'!$A$1:$H$22</definedName>
    <definedName name="_xlnm.Print_Area" localSheetId="23">'08-DO'!$B$2:$F$37</definedName>
    <definedName name="_xlnm.Print_Area" localSheetId="25">'08-LD'!$A$1:$H$39</definedName>
    <definedName name="_xlnm.Print_Area" localSheetId="24">'08-LU'!$A$1:$G$20</definedName>
    <definedName name="_xlnm.Print_Area" localSheetId="26">'09-DO'!$B$2:$F$37</definedName>
    <definedName name="_xlnm.Print_Area" localSheetId="37">'0X-LD'!$A$1:$G$37</definedName>
    <definedName name="_xlnm.Print_Area" localSheetId="36">'0X-LU'!$A$1:$G$49</definedName>
    <definedName name="_xlnm.Print_Area" localSheetId="27">'10-DO'!$B$2:$F$37</definedName>
    <definedName name="_xlnm.Print_Area" localSheetId="28">'10-LU'!$A$1:$G$19</definedName>
    <definedName name="_xlnm.Print_Area" localSheetId="29">'11-DO'!$B$2:$F$37</definedName>
    <definedName name="_xlnm.Print_Area" localSheetId="30">'12-DO'!$B$2:$F$37</definedName>
    <definedName name="_xlnm.Print_Area" localSheetId="31">'13-DO'!$B$2:$F$37</definedName>
    <definedName name="_xlnm.Print_Area" localSheetId="32">'13-LU'!$A$1:$G$19</definedName>
    <definedName name="_xlnm.Print_Area" localSheetId="33">'14-DO'!$B$2:$F$37</definedName>
    <definedName name="_xlnm.Print_Area" localSheetId="34">'14-LU'!$A$1:$G$19</definedName>
    <definedName name="_xlnm.Print_Area" localSheetId="3">DG!$A$1:$I$139</definedName>
    <definedName name="_xlnm.Print_Area" localSheetId="1">'DG - v2'!$A$1:$R$124</definedName>
    <definedName name="_xlnm.Print_Area" localSheetId="4">'DG-cap3'!$A$1:$I$37</definedName>
    <definedName name="_xlnm.Print_Area" localSheetId="0">GRAFIC!$A$1:$AK$44</definedName>
    <definedName name="proc_TVA">'[1]Devize OBIECTE'!$G$7</definedName>
    <definedName name="reab_amb">'[1]Anexa G1 Grafic'!$J$24</definedName>
    <definedName name="reab_lab">'[1]Anexa G1 Grafic'!#REF!</definedName>
    <definedName name="valoare_TVA">'[1]Deviz GENERAL'!$M$6</definedName>
    <definedName name="wsww" localSheetId="6">'Alte preturi'!#REF!</definedName>
    <definedName name="wsww" localSheetId="7">'Alte preturi'!#REF!</definedName>
    <definedName name="wsww" localSheetId="8">'Alte preturi'!#REF!</definedName>
    <definedName name="wsww" localSheetId="10">'Alte preturi'!#REF!</definedName>
    <definedName name="wsww" localSheetId="9">'Alte preturi'!#REF!</definedName>
    <definedName name="wsww" localSheetId="11">'Alte preturi'!#REF!</definedName>
    <definedName name="wsww" localSheetId="13">'Alte preturi'!#REF!</definedName>
    <definedName name="wsww" localSheetId="12">'Alte preturi'!#REF!</definedName>
    <definedName name="wsww" localSheetId="14">'Alte preturi'!#REF!</definedName>
    <definedName name="wsww" localSheetId="16">'Alte preturi'!#REF!</definedName>
    <definedName name="wsww" localSheetId="15">'Alte preturi'!#REF!</definedName>
    <definedName name="wsww" localSheetId="17">'Alte preturi'!#REF!</definedName>
    <definedName name="wsww" localSheetId="18">'Alte preturi'!#REF!</definedName>
    <definedName name="wsww" localSheetId="19">'Alte preturi'!#REF!</definedName>
    <definedName name="wsww" localSheetId="20">'Alte preturi'!#REF!</definedName>
    <definedName name="wsww" localSheetId="22">'Alte preturi'!#REF!</definedName>
    <definedName name="wsww" localSheetId="21">'Alte preturi'!#REF!</definedName>
    <definedName name="wsww" localSheetId="23">'Alte preturi'!#REF!</definedName>
    <definedName name="wsww" localSheetId="25">'Alte preturi'!#REF!</definedName>
    <definedName name="wsww" localSheetId="24">'Alte preturi'!#REF!</definedName>
    <definedName name="wsww" localSheetId="26">'Alte preturi'!#REF!</definedName>
    <definedName name="wsww" localSheetId="37">'Alte preturi'!#REF!</definedName>
    <definedName name="wsww" localSheetId="27">'Alte preturi'!#REF!</definedName>
    <definedName name="wsww" localSheetId="28">'Alte preturi'!#REF!</definedName>
    <definedName name="wsww" localSheetId="29">'Alte preturi'!#REF!</definedName>
    <definedName name="wsww" localSheetId="30">'Alte preturi'!#REF!</definedName>
    <definedName name="wsww" localSheetId="31">'Alte preturi'!#REF!</definedName>
    <definedName name="wsww" localSheetId="32">'Alte preturi'!#REF!</definedName>
    <definedName name="wsww" localSheetId="33">'Alte preturi'!#REF!</definedName>
    <definedName name="wsww" localSheetId="34">'Alte preturi'!#REF!</definedName>
    <definedName name="wsww" localSheetId="1">'Alte preturi'!#REF!</definedName>
    <definedName name="wsww">'Alte preturi'!#REF!</definedName>
  </definedNames>
  <calcPr calcId="144525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9" i="5" l="1"/>
  <c r="I60" i="5"/>
  <c r="I61" i="5"/>
  <c r="I62" i="5"/>
  <c r="I63" i="5"/>
  <c r="I64" i="5"/>
  <c r="I65" i="5"/>
  <c r="I66" i="5"/>
  <c r="I67" i="5"/>
  <c r="I68" i="5"/>
  <c r="I69" i="5"/>
  <c r="I58" i="5"/>
  <c r="H58" i="5"/>
  <c r="D19" i="90"/>
  <c r="D16" i="90"/>
  <c r="E18" i="90"/>
  <c r="F18" i="90" s="1"/>
  <c r="G18" i="90" s="1"/>
  <c r="E17" i="90"/>
  <c r="F17" i="90" s="1"/>
  <c r="G17" i="90" s="1"/>
  <c r="I105" i="5" l="1"/>
  <c r="I104" i="5"/>
  <c r="G71" i="5" l="1"/>
  <c r="G72" i="5"/>
  <c r="G73" i="5"/>
  <c r="G74" i="5"/>
  <c r="G75" i="5"/>
  <c r="G76" i="5"/>
  <c r="D12" i="90" l="1"/>
  <c r="E13" i="90"/>
  <c r="E14" i="90"/>
  <c r="F14" i="90" s="1"/>
  <c r="G14" i="90" s="1"/>
  <c r="E15" i="90"/>
  <c r="F15" i="90" s="1"/>
  <c r="G15" i="90" s="1"/>
  <c r="E16" i="90"/>
  <c r="F16" i="90" s="1"/>
  <c r="H24" i="5" l="1"/>
  <c r="I24" i="5" s="1"/>
  <c r="H25" i="5"/>
  <c r="I25" i="5" s="1"/>
  <c r="H26" i="5"/>
  <c r="I26" i="5" s="1"/>
  <c r="H27" i="5"/>
  <c r="I27" i="5" s="1"/>
  <c r="H28" i="5"/>
  <c r="I28" i="5" s="1"/>
  <c r="G49" i="5" l="1"/>
  <c r="G24" i="54"/>
  <c r="E19" i="90" l="1"/>
  <c r="F19" i="90" s="1"/>
  <c r="H85" i="5"/>
  <c r="I85" i="5" s="1"/>
  <c r="G37" i="5"/>
  <c r="E23" i="90" l="1"/>
  <c r="E24" i="90"/>
  <c r="E25" i="90"/>
  <c r="G35" i="5"/>
  <c r="H23" i="5"/>
  <c r="I23" i="5" s="1"/>
  <c r="H14" i="5"/>
  <c r="I14" i="5" s="1"/>
  <c r="H15" i="5"/>
  <c r="I15" i="5" s="1"/>
  <c r="G29" i="5" l="1"/>
  <c r="H21" i="5"/>
  <c r="H22" i="5"/>
  <c r="I22" i="5" s="1"/>
  <c r="I21" i="5" l="1"/>
  <c r="H37" i="5"/>
  <c r="I37" i="54" l="1"/>
  <c r="I34" i="54"/>
  <c r="G16" i="90" l="1"/>
  <c r="G33" i="90"/>
  <c r="AK44" i="33"/>
  <c r="D34" i="54" l="1"/>
  <c r="G86" i="5"/>
  <c r="D35" i="54" l="1"/>
  <c r="F25" i="90"/>
  <c r="F24" i="90"/>
  <c r="F23" i="90"/>
  <c r="E22" i="90"/>
  <c r="F12" i="90" l="1"/>
  <c r="E20" i="90"/>
  <c r="E21" i="90" s="1"/>
  <c r="G23" i="90"/>
  <c r="E26" i="90"/>
  <c r="G25" i="90"/>
  <c r="G24" i="90"/>
  <c r="F22" i="90"/>
  <c r="F26" i="90" s="1"/>
  <c r="G26" i="90" s="1"/>
  <c r="D26" i="90"/>
  <c r="E12" i="90" l="1"/>
  <c r="G12" i="90"/>
  <c r="D21" i="90"/>
  <c r="D27" i="90" s="1"/>
  <c r="G22" i="90"/>
  <c r="F20" i="90"/>
  <c r="F21" i="90" s="1"/>
  <c r="G21" i="90" s="1"/>
  <c r="E13" i="82"/>
  <c r="F13" i="82" s="1"/>
  <c r="F17" i="82" s="1"/>
  <c r="G20" i="90" l="1"/>
  <c r="Y35" i="33" l="1"/>
  <c r="G123" i="5"/>
  <c r="H123" i="5" s="1"/>
  <c r="H122" i="5" l="1"/>
  <c r="F22" i="70"/>
  <c r="F21" i="70"/>
  <c r="F20" i="70"/>
  <c r="F19" i="70"/>
  <c r="F18" i="70"/>
  <c r="F16" i="70"/>
  <c r="F15" i="70"/>
  <c r="F14" i="70"/>
  <c r="F13" i="70"/>
  <c r="I122" i="5" l="1"/>
  <c r="D15" i="69"/>
  <c r="D14" i="69"/>
  <c r="D13" i="69"/>
  <c r="G19" i="63"/>
  <c r="G17" i="63"/>
  <c r="D14" i="71"/>
  <c r="D13" i="71"/>
  <c r="C15" i="5"/>
  <c r="E11" i="63"/>
  <c r="F13" i="69"/>
  <c r="F11" i="63" l="1"/>
  <c r="F27" i="87" l="1"/>
  <c r="F23" i="87"/>
  <c r="F22" i="87"/>
  <c r="F20" i="87"/>
  <c r="F19" i="87"/>
  <c r="F18" i="87"/>
  <c r="F17" i="87"/>
  <c r="F16" i="87"/>
  <c r="F15" i="87"/>
  <c r="F13" i="87" l="1"/>
  <c r="F20" i="72"/>
  <c r="F19" i="72"/>
  <c r="F18" i="72"/>
  <c r="F17" i="72"/>
  <c r="F16" i="72"/>
  <c r="F15" i="72"/>
  <c r="F14" i="72"/>
  <c r="F13" i="72"/>
  <c r="F20" i="59"/>
  <c r="F19" i="59"/>
  <c r="F18" i="59"/>
  <c r="F17" i="59"/>
  <c r="F16" i="59"/>
  <c r="F15" i="59" l="1"/>
  <c r="F14" i="59"/>
  <c r="F13" i="59"/>
  <c r="B3" i="33" l="1"/>
  <c r="E13" i="74" l="1"/>
  <c r="C6" i="6"/>
  <c r="E13" i="83"/>
  <c r="F13" i="84" l="1"/>
  <c r="B4" i="60" l="1"/>
  <c r="B4" i="53"/>
  <c r="C92" i="5"/>
  <c r="C82" i="5"/>
  <c r="C75" i="5"/>
  <c r="A6" i="89"/>
  <c r="A6" i="61"/>
  <c r="F32" i="89"/>
  <c r="F31" i="89"/>
  <c r="F29" i="89"/>
  <c r="F28" i="89"/>
  <c r="F27" i="89"/>
  <c r="F26" i="89"/>
  <c r="F25" i="89"/>
  <c r="F24" i="89"/>
  <c r="F23" i="89"/>
  <c r="F22" i="89"/>
  <c r="F21" i="89"/>
  <c r="F20" i="89"/>
  <c r="F19" i="89"/>
  <c r="F18" i="89"/>
  <c r="F17" i="89"/>
  <c r="F16" i="89"/>
  <c r="F15" i="89"/>
  <c r="F14" i="89"/>
  <c r="B4" i="52"/>
  <c r="A6" i="74"/>
  <c r="A6" i="73"/>
  <c r="B4" i="51"/>
  <c r="A6" i="71"/>
  <c r="A6" i="72"/>
  <c r="B4" i="50"/>
  <c r="A6" i="87"/>
  <c r="F30" i="87"/>
  <c r="F29" i="87"/>
  <c r="F26" i="87"/>
  <c r="F25" i="87"/>
  <c r="F24" i="87"/>
  <c r="F21" i="87"/>
  <c r="F14" i="87"/>
  <c r="A1" i="87"/>
  <c r="B2" i="49"/>
  <c r="B2" i="50" s="1"/>
  <c r="A1" i="84"/>
  <c r="A1" i="83"/>
  <c r="B4" i="49"/>
  <c r="A6" i="63"/>
  <c r="B4" i="48"/>
  <c r="A6" i="84"/>
  <c r="A6" i="83"/>
  <c r="F25" i="84"/>
  <c r="F24" i="84"/>
  <c r="F22" i="84"/>
  <c r="F21" i="84"/>
  <c r="F20" i="84"/>
  <c r="F19" i="84"/>
  <c r="F18" i="84"/>
  <c r="F17" i="84"/>
  <c r="F16" i="84"/>
  <c r="F15" i="84"/>
  <c r="F14" i="84"/>
  <c r="F17" i="83"/>
  <c r="F16" i="83"/>
  <c r="F15" i="83"/>
  <c r="F14" i="83"/>
  <c r="F13" i="83"/>
  <c r="A6" i="70"/>
  <c r="A6" i="69"/>
  <c r="B4" i="47"/>
  <c r="B4" i="6"/>
  <c r="A6" i="82"/>
  <c r="C76" i="5"/>
  <c r="C83" i="5" s="1"/>
  <c r="C93" i="5" s="1"/>
  <c r="D26" i="6" l="1"/>
  <c r="A1" i="71"/>
  <c r="A1" i="72"/>
  <c r="B2" i="51"/>
  <c r="F33" i="89"/>
  <c r="D28" i="52" s="1"/>
  <c r="G93" i="5" s="1"/>
  <c r="F31" i="87"/>
  <c r="D28" i="49" s="1"/>
  <c r="G90" i="5" s="1"/>
  <c r="F18" i="83"/>
  <c r="D26" i="48" s="1"/>
  <c r="G79" i="5" s="1"/>
  <c r="F36" i="84"/>
  <c r="D28" i="48" s="1"/>
  <c r="G89" i="5" s="1"/>
  <c r="D28" i="6"/>
  <c r="G18" i="80"/>
  <c r="G18" i="79"/>
  <c r="G16" i="79"/>
  <c r="G16" i="80"/>
  <c r="B4" i="78"/>
  <c r="D22" i="75"/>
  <c r="E11" i="80"/>
  <c r="E12" i="80" s="1"/>
  <c r="D26" i="78" s="1"/>
  <c r="D24" i="78" s="1"/>
  <c r="D25" i="78" s="1"/>
  <c r="E11" i="79"/>
  <c r="I4" i="78"/>
  <c r="E28" i="78" s="1"/>
  <c r="F28" i="78" s="1"/>
  <c r="B4" i="76"/>
  <c r="I4" i="77"/>
  <c r="E28" i="77" s="1"/>
  <c r="F28" i="77" s="1"/>
  <c r="A6" i="80"/>
  <c r="A6" i="79"/>
  <c r="D30" i="76"/>
  <c r="D24" i="76"/>
  <c r="D25" i="76" s="1"/>
  <c r="I4" i="76"/>
  <c r="E28" i="76" s="1"/>
  <c r="F28" i="76" s="1"/>
  <c r="E29" i="77" l="1"/>
  <c r="F29" i="77" s="1"/>
  <c r="E27" i="76"/>
  <c r="F27" i="76" s="1"/>
  <c r="E27" i="77"/>
  <c r="F27" i="77" s="1"/>
  <c r="E27" i="78"/>
  <c r="F27" i="78" s="1"/>
  <c r="E29" i="78"/>
  <c r="F29" i="78" s="1"/>
  <c r="E29" i="76"/>
  <c r="F29" i="76" s="1"/>
  <c r="A1" i="89"/>
  <c r="B2" i="52"/>
  <c r="A1" i="73"/>
  <c r="A1" i="74"/>
  <c r="B4" i="77"/>
  <c r="D30" i="78"/>
  <c r="E12" i="79"/>
  <c r="D26" i="77" s="1"/>
  <c r="E26" i="77" s="1"/>
  <c r="E24" i="78"/>
  <c r="E25" i="78" s="1"/>
  <c r="E26" i="78"/>
  <c r="E24" i="76"/>
  <c r="E25" i="76" s="1"/>
  <c r="E26" i="76"/>
  <c r="B4" i="75"/>
  <c r="D30" i="75"/>
  <c r="D24" i="75"/>
  <c r="D25" i="75" s="1"/>
  <c r="I4" i="75"/>
  <c r="F24" i="76" l="1"/>
  <c r="F25" i="76" s="1"/>
  <c r="A1" i="61"/>
  <c r="B2" i="53"/>
  <c r="B2" i="60" s="1"/>
  <c r="D30" i="77"/>
  <c r="D24" i="77"/>
  <c r="F24" i="78"/>
  <c r="F25" i="78" s="1"/>
  <c r="E30" i="78"/>
  <c r="F26" i="78"/>
  <c r="F30" i="78" s="1"/>
  <c r="E30" i="77"/>
  <c r="F26" i="77"/>
  <c r="F30" i="77" s="1"/>
  <c r="E30" i="76"/>
  <c r="F26" i="76"/>
  <c r="F30" i="76" s="1"/>
  <c r="E26" i="75"/>
  <c r="E28" i="75"/>
  <c r="F28" i="75" s="1"/>
  <c r="E27" i="75"/>
  <c r="F27" i="75" s="1"/>
  <c r="E29" i="75"/>
  <c r="F29" i="75" s="1"/>
  <c r="E24" i="75"/>
  <c r="D25" i="77" l="1"/>
  <c r="E24" i="77"/>
  <c r="E25" i="77" s="1"/>
  <c r="E25" i="75"/>
  <c r="F24" i="75"/>
  <c r="F25" i="75" s="1"/>
  <c r="E30" i="75"/>
  <c r="F26" i="75"/>
  <c r="F30" i="75" s="1"/>
  <c r="F24" i="77" l="1"/>
  <c r="F25" i="77" s="1"/>
  <c r="F21" i="74"/>
  <c r="F20" i="74"/>
  <c r="F62" i="72"/>
  <c r="F61" i="72"/>
  <c r="F20" i="71"/>
  <c r="F23" i="59"/>
  <c r="F26" i="70"/>
  <c r="F25" i="70"/>
  <c r="F22" i="59"/>
  <c r="F24" i="59" l="1"/>
  <c r="F15" i="73"/>
  <c r="F14" i="73"/>
  <c r="F13" i="73"/>
  <c r="F19" i="71"/>
  <c r="F18" i="71"/>
  <c r="F17" i="71"/>
  <c r="F16" i="71"/>
  <c r="F15" i="71"/>
  <c r="F14" i="71"/>
  <c r="F13" i="71"/>
  <c r="G37" i="33" l="1"/>
  <c r="F21" i="71"/>
  <c r="F18" i="74" l="1"/>
  <c r="F16" i="74"/>
  <c r="F13" i="74"/>
  <c r="F17" i="74"/>
  <c r="F15" i="74"/>
  <c r="F14" i="74"/>
  <c r="F59" i="72"/>
  <c r="F58" i="72"/>
  <c r="F57" i="72"/>
  <c r="F56" i="72"/>
  <c r="F54" i="72"/>
  <c r="F53" i="72"/>
  <c r="F52" i="72"/>
  <c r="F51" i="72"/>
  <c r="F50" i="72"/>
  <c r="F49" i="72"/>
  <c r="F48" i="72"/>
  <c r="F46" i="72"/>
  <c r="F45" i="72"/>
  <c r="F44" i="72"/>
  <c r="F43" i="72"/>
  <c r="F42" i="72"/>
  <c r="F41" i="72"/>
  <c r="F40" i="72"/>
  <c r="F39" i="72"/>
  <c r="F38" i="72"/>
  <c r="F35" i="72"/>
  <c r="F34" i="72"/>
  <c r="F33" i="72"/>
  <c r="F32" i="72"/>
  <c r="F31" i="72"/>
  <c r="F30" i="72"/>
  <c r="F29" i="72"/>
  <c r="F28" i="72"/>
  <c r="F27" i="72"/>
  <c r="F26" i="72"/>
  <c r="F25" i="72"/>
  <c r="F24" i="72"/>
  <c r="F23" i="72"/>
  <c r="F22" i="72"/>
  <c r="F21" i="72"/>
  <c r="F23" i="70"/>
  <c r="F17" i="69"/>
  <c r="F16" i="69"/>
  <c r="F15" i="69"/>
  <c r="F14" i="69"/>
  <c r="G87" i="5" l="1"/>
  <c r="F22" i="74"/>
  <c r="F27" i="70"/>
  <c r="E12" i="61"/>
  <c r="G34" i="72" l="1"/>
  <c r="G33" i="72"/>
  <c r="G121" i="5" l="1"/>
  <c r="H121" i="5" s="1"/>
  <c r="D28" i="51"/>
  <c r="G92" i="5" s="1"/>
  <c r="F37" i="72"/>
  <c r="F63" i="72" s="1"/>
  <c r="F18" i="69"/>
  <c r="D26" i="47" s="1"/>
  <c r="G78" i="5" s="1"/>
  <c r="H92" i="5" l="1"/>
  <c r="D28" i="47"/>
  <c r="G88" i="5" s="1"/>
  <c r="D26" i="50"/>
  <c r="G81" i="5" s="1"/>
  <c r="D28" i="50"/>
  <c r="G91" i="5" s="1"/>
  <c r="F16" i="73"/>
  <c r="D26" i="51" s="1"/>
  <c r="G82" i="5" s="1"/>
  <c r="C91" i="5"/>
  <c r="C90" i="5"/>
  <c r="C89" i="5"/>
  <c r="C88" i="5"/>
  <c r="C87" i="5"/>
  <c r="C86" i="5"/>
  <c r="C81" i="5"/>
  <c r="C80" i="5"/>
  <c r="C79" i="5"/>
  <c r="C78" i="5"/>
  <c r="C74" i="5"/>
  <c r="C73" i="5"/>
  <c r="C72" i="5"/>
  <c r="C71" i="5"/>
  <c r="I92" i="5" l="1"/>
  <c r="H82" i="5"/>
  <c r="I82" i="5" l="1"/>
  <c r="D13" i="78" l="1"/>
  <c r="E13" i="78" s="1"/>
  <c r="F13" i="78" s="1"/>
  <c r="D13" i="77"/>
  <c r="D13" i="75"/>
  <c r="E13" i="75" s="1"/>
  <c r="D13" i="76"/>
  <c r="E13" i="76" s="1"/>
  <c r="F13" i="76" s="1"/>
  <c r="F13" i="75" l="1"/>
  <c r="E13" i="77"/>
  <c r="F13" i="77" s="1"/>
  <c r="D17" i="76" l="1"/>
  <c r="D17" i="75"/>
  <c r="D18" i="52"/>
  <c r="D14" i="77" l="1"/>
  <c r="D14" i="78"/>
  <c r="E14" i="78" s="1"/>
  <c r="F14" i="78" s="1"/>
  <c r="D14" i="75"/>
  <c r="E14" i="75" s="1"/>
  <c r="F14" i="75" s="1"/>
  <c r="D14" i="76"/>
  <c r="E14" i="76" s="1"/>
  <c r="F14" i="76" s="1"/>
  <c r="D19" i="75"/>
  <c r="E19" i="75" s="1"/>
  <c r="F19" i="75" s="1"/>
  <c r="D19" i="77"/>
  <c r="E19" i="77" s="1"/>
  <c r="F19" i="77" s="1"/>
  <c r="D19" i="78"/>
  <c r="D19" i="76"/>
  <c r="E19" i="76" s="1"/>
  <c r="F19" i="76" s="1"/>
  <c r="D17" i="78"/>
  <c r="D17" i="77"/>
  <c r="D18" i="75"/>
  <c r="D18" i="78"/>
  <c r="E18" i="78" s="1"/>
  <c r="F18" i="78" s="1"/>
  <c r="D18" i="77"/>
  <c r="E18" i="77" s="1"/>
  <c r="F18" i="77" s="1"/>
  <c r="D18" i="76"/>
  <c r="E18" i="76" s="1"/>
  <c r="F18" i="76" s="1"/>
  <c r="D21" i="75"/>
  <c r="E21" i="75" s="1"/>
  <c r="F21" i="75" s="1"/>
  <c r="D21" i="78"/>
  <c r="E21" i="78" s="1"/>
  <c r="F21" i="78" s="1"/>
  <c r="D21" i="77"/>
  <c r="E21" i="77" s="1"/>
  <c r="F21" i="77" s="1"/>
  <c r="D21" i="76"/>
  <c r="E21" i="76" s="1"/>
  <c r="F21" i="76" s="1"/>
  <c r="E22" i="75"/>
  <c r="F22" i="75" s="1"/>
  <c r="E22" i="77"/>
  <c r="F22" i="77" s="1"/>
  <c r="E22" i="78"/>
  <c r="F22" i="78" s="1"/>
  <c r="E22" i="76"/>
  <c r="F22" i="76" s="1"/>
  <c r="E17" i="75"/>
  <c r="F17" i="75" s="1"/>
  <c r="E18" i="75" l="1"/>
  <c r="F18" i="75" s="1"/>
  <c r="E19" i="78"/>
  <c r="F19" i="78" s="1"/>
  <c r="E17" i="76"/>
  <c r="E17" i="77"/>
  <c r="E17" i="78"/>
  <c r="E14" i="77"/>
  <c r="F14" i="77" s="1"/>
  <c r="F17" i="76" l="1"/>
  <c r="F17" i="77"/>
  <c r="F17" i="78"/>
  <c r="H88" i="5"/>
  <c r="I88" i="5" s="1"/>
  <c r="H90" i="5"/>
  <c r="I90" i="5" s="1"/>
  <c r="H94" i="5"/>
  <c r="I94" i="5" s="1"/>
  <c r="H89" i="5" l="1"/>
  <c r="I89" i="5" s="1"/>
  <c r="H91" i="5"/>
  <c r="I91" i="5" s="1"/>
  <c r="E119" i="65" l="1"/>
  <c r="E118" i="65"/>
  <c r="O113" i="65"/>
  <c r="J113" i="65"/>
  <c r="P113" i="65" s="1"/>
  <c r="I113" i="65"/>
  <c r="G110" i="65"/>
  <c r="H109" i="65"/>
  <c r="P108" i="65"/>
  <c r="N108" i="65"/>
  <c r="K108" i="65"/>
  <c r="L108" i="65" s="1"/>
  <c r="H108" i="65"/>
  <c r="I108" i="65" s="1"/>
  <c r="Q100" i="65"/>
  <c r="P100" i="65"/>
  <c r="O100" i="65"/>
  <c r="L100" i="65"/>
  <c r="I100" i="65"/>
  <c r="Q99" i="65"/>
  <c r="Q98" i="65"/>
  <c r="Q97" i="65"/>
  <c r="Q96" i="65"/>
  <c r="P96" i="65"/>
  <c r="O96" i="65"/>
  <c r="L96" i="65"/>
  <c r="I96" i="65"/>
  <c r="Q95" i="65"/>
  <c r="P88" i="65"/>
  <c r="N88" i="65"/>
  <c r="O88" i="65" s="1"/>
  <c r="K88" i="65"/>
  <c r="H88" i="65"/>
  <c r="P87" i="65"/>
  <c r="N87" i="65"/>
  <c r="O87" i="65" s="1"/>
  <c r="K87" i="65"/>
  <c r="L87" i="65" s="1"/>
  <c r="H87" i="65"/>
  <c r="N86" i="65"/>
  <c r="O86" i="65" s="1"/>
  <c r="H86" i="65"/>
  <c r="I86" i="65" s="1"/>
  <c r="M85" i="65"/>
  <c r="H85" i="65"/>
  <c r="G85" i="65"/>
  <c r="N84" i="65"/>
  <c r="O84" i="65" s="1"/>
  <c r="J84" i="65"/>
  <c r="P84" i="65" s="1"/>
  <c r="H84" i="65"/>
  <c r="P83" i="65"/>
  <c r="N83" i="65"/>
  <c r="K83" i="65"/>
  <c r="L83" i="65" s="1"/>
  <c r="H83" i="65"/>
  <c r="I83" i="65" s="1"/>
  <c r="P82" i="65"/>
  <c r="K82" i="65"/>
  <c r="L82" i="65" s="1"/>
  <c r="R82" i="65" s="1"/>
  <c r="N81" i="65"/>
  <c r="O81" i="65" s="1"/>
  <c r="J81" i="65"/>
  <c r="P81" i="65" s="1"/>
  <c r="H81" i="65"/>
  <c r="I81" i="65" s="1"/>
  <c r="N80" i="65"/>
  <c r="O80" i="65" s="1"/>
  <c r="H80" i="65"/>
  <c r="I80" i="65" s="1"/>
  <c r="N79" i="65"/>
  <c r="O79" i="65" s="1"/>
  <c r="H79" i="65"/>
  <c r="I79" i="65" s="1"/>
  <c r="N78" i="65"/>
  <c r="O78" i="65" s="1"/>
  <c r="H78" i="65"/>
  <c r="N77" i="65"/>
  <c r="O77" i="65" s="1"/>
  <c r="J77" i="65"/>
  <c r="P77" i="65" s="1"/>
  <c r="H77" i="65"/>
  <c r="I77" i="65" s="1"/>
  <c r="N76" i="65"/>
  <c r="O76" i="65" s="1"/>
  <c r="H76" i="65"/>
  <c r="I76" i="65" s="1"/>
  <c r="M75" i="65"/>
  <c r="M109" i="65" s="1"/>
  <c r="G75" i="65"/>
  <c r="P74" i="65"/>
  <c r="N74" i="65"/>
  <c r="O74" i="65" s="1"/>
  <c r="K74" i="65"/>
  <c r="L74" i="65" s="1"/>
  <c r="H74" i="65"/>
  <c r="P73" i="65"/>
  <c r="K73" i="65"/>
  <c r="Q73" i="65" s="1"/>
  <c r="O72" i="65"/>
  <c r="N72" i="65"/>
  <c r="H72" i="65"/>
  <c r="I72" i="65" s="1"/>
  <c r="N71" i="65"/>
  <c r="O71" i="65" s="1"/>
  <c r="I71" i="65"/>
  <c r="H71" i="65"/>
  <c r="N70" i="65"/>
  <c r="O70" i="65" s="1"/>
  <c r="H70" i="65"/>
  <c r="I70" i="65" s="1"/>
  <c r="N69" i="65"/>
  <c r="O69" i="65" s="1"/>
  <c r="H69" i="65"/>
  <c r="I69" i="65" s="1"/>
  <c r="N68" i="65"/>
  <c r="O68" i="65" s="1"/>
  <c r="H68" i="65"/>
  <c r="N67" i="65"/>
  <c r="H67" i="65"/>
  <c r="I67" i="65" s="1"/>
  <c r="M66" i="65"/>
  <c r="G66" i="65"/>
  <c r="P65" i="65"/>
  <c r="N65" i="65"/>
  <c r="O65" i="65" s="1"/>
  <c r="K65" i="65"/>
  <c r="L65" i="65" s="1"/>
  <c r="H65" i="65"/>
  <c r="P64" i="65"/>
  <c r="N64" i="65"/>
  <c r="O64" i="65" s="1"/>
  <c r="K64" i="65"/>
  <c r="L64" i="65" s="1"/>
  <c r="H64" i="65"/>
  <c r="I64" i="65" s="1"/>
  <c r="N63" i="65"/>
  <c r="O63" i="65" s="1"/>
  <c r="H63" i="65"/>
  <c r="I63" i="65" s="1"/>
  <c r="N62" i="65"/>
  <c r="O62" i="65" s="1"/>
  <c r="H62" i="65"/>
  <c r="I62" i="65" s="1"/>
  <c r="N61" i="65"/>
  <c r="O61" i="65" s="1"/>
  <c r="H61" i="65"/>
  <c r="I61" i="65" s="1"/>
  <c r="N60" i="65"/>
  <c r="O60" i="65" s="1"/>
  <c r="H60" i="65"/>
  <c r="I60" i="65" s="1"/>
  <c r="N59" i="65"/>
  <c r="O59" i="65" s="1"/>
  <c r="H59" i="65"/>
  <c r="I59" i="65" s="1"/>
  <c r="M58" i="65"/>
  <c r="G58" i="65"/>
  <c r="N54" i="65"/>
  <c r="O54" i="65" s="1"/>
  <c r="H54" i="65"/>
  <c r="I54" i="65" s="1"/>
  <c r="N53" i="65"/>
  <c r="O53" i="65" s="1"/>
  <c r="H53" i="65"/>
  <c r="I53" i="65" s="1"/>
  <c r="N52" i="65"/>
  <c r="O52" i="65" s="1"/>
  <c r="H52" i="65"/>
  <c r="M51" i="65"/>
  <c r="M50" i="65" s="1"/>
  <c r="G51" i="65"/>
  <c r="G50" i="65" s="1"/>
  <c r="N49" i="65"/>
  <c r="O49" i="65" s="1"/>
  <c r="H49" i="65"/>
  <c r="I49" i="65" s="1"/>
  <c r="N48" i="65"/>
  <c r="O48" i="65" s="1"/>
  <c r="H48" i="65"/>
  <c r="H47" i="65" s="1"/>
  <c r="M47" i="65"/>
  <c r="G47" i="65"/>
  <c r="N46" i="65"/>
  <c r="O46" i="65" s="1"/>
  <c r="H46" i="65"/>
  <c r="I46" i="65" s="1"/>
  <c r="N45" i="65"/>
  <c r="O45" i="65" s="1"/>
  <c r="H45" i="65"/>
  <c r="I45" i="65" s="1"/>
  <c r="N44" i="65"/>
  <c r="O44" i="65" s="1"/>
  <c r="H44" i="65"/>
  <c r="I44" i="65" s="1"/>
  <c r="N43" i="65"/>
  <c r="O43" i="65" s="1"/>
  <c r="H43" i="65"/>
  <c r="I43" i="65" s="1"/>
  <c r="N42" i="65"/>
  <c r="O42" i="65" s="1"/>
  <c r="J42" i="65"/>
  <c r="H42" i="65"/>
  <c r="I42" i="65" s="1"/>
  <c r="N41" i="65"/>
  <c r="O41" i="65" s="1"/>
  <c r="J41" i="65"/>
  <c r="K41" i="65" s="1"/>
  <c r="L41" i="65" s="1"/>
  <c r="H41" i="65"/>
  <c r="I41" i="65" s="1"/>
  <c r="N40" i="65"/>
  <c r="O40" i="65" s="1"/>
  <c r="J40" i="65"/>
  <c r="H40" i="65"/>
  <c r="M39" i="65"/>
  <c r="G39" i="65"/>
  <c r="N38" i="65"/>
  <c r="O38" i="65" s="1"/>
  <c r="H38" i="65"/>
  <c r="I38" i="65" s="1"/>
  <c r="N37" i="65"/>
  <c r="O37" i="65" s="1"/>
  <c r="H37" i="65"/>
  <c r="I37" i="65" s="1"/>
  <c r="N36" i="65"/>
  <c r="O36" i="65" s="1"/>
  <c r="H36" i="65"/>
  <c r="I36" i="65" s="1"/>
  <c r="N35" i="65"/>
  <c r="O35" i="65" s="1"/>
  <c r="J35" i="65"/>
  <c r="H35" i="65"/>
  <c r="I35" i="65" s="1"/>
  <c r="N34" i="65"/>
  <c r="O34" i="65" s="1"/>
  <c r="J34" i="65"/>
  <c r="K34" i="65" s="1"/>
  <c r="L34" i="65" s="1"/>
  <c r="H34" i="65"/>
  <c r="I34" i="65" s="1"/>
  <c r="N33" i="65"/>
  <c r="O33" i="65" s="1"/>
  <c r="J33" i="65"/>
  <c r="H33" i="65"/>
  <c r="M32" i="65"/>
  <c r="G32" i="65"/>
  <c r="M29" i="65"/>
  <c r="G29" i="65"/>
  <c r="N27" i="65"/>
  <c r="O27" i="65" s="1"/>
  <c r="H27" i="65"/>
  <c r="I27" i="65" s="1"/>
  <c r="N26" i="65"/>
  <c r="O26" i="65" s="1"/>
  <c r="H26" i="65"/>
  <c r="I26" i="65" s="1"/>
  <c r="N25" i="65"/>
  <c r="O25" i="65" s="1"/>
  <c r="H25" i="65"/>
  <c r="I25" i="65" s="1"/>
  <c r="N24" i="65"/>
  <c r="O24" i="65" s="1"/>
  <c r="H24" i="65"/>
  <c r="H29" i="65" s="1"/>
  <c r="P20" i="65"/>
  <c r="N20" i="65"/>
  <c r="O20" i="65" s="1"/>
  <c r="K20" i="65"/>
  <c r="L20" i="65" s="1"/>
  <c r="H20" i="65"/>
  <c r="I20" i="65" s="1"/>
  <c r="P19" i="65"/>
  <c r="N19" i="65"/>
  <c r="O19" i="65" s="1"/>
  <c r="K19" i="65"/>
  <c r="L19" i="65" s="1"/>
  <c r="H19" i="65"/>
  <c r="H18" i="65"/>
  <c r="I18" i="65" s="1"/>
  <c r="N17" i="65"/>
  <c r="O17" i="65" s="1"/>
  <c r="O16" i="65" s="1"/>
  <c r="H17" i="65"/>
  <c r="I17" i="65" s="1"/>
  <c r="M16" i="65"/>
  <c r="G16" i="65"/>
  <c r="P15" i="65"/>
  <c r="N15" i="65"/>
  <c r="K15" i="65"/>
  <c r="L15" i="65" s="1"/>
  <c r="H15" i="65"/>
  <c r="M55" i="65" l="1"/>
  <c r="N66" i="65"/>
  <c r="R64" i="65"/>
  <c r="K77" i="65"/>
  <c r="Q77" i="65" s="1"/>
  <c r="Q82" i="65"/>
  <c r="Q87" i="65"/>
  <c r="R96" i="65"/>
  <c r="Q108" i="65"/>
  <c r="K113" i="65"/>
  <c r="Q113" i="65" s="1"/>
  <c r="Q20" i="65"/>
  <c r="N32" i="65"/>
  <c r="N47" i="65"/>
  <c r="O67" i="65"/>
  <c r="O66" i="65" s="1"/>
  <c r="H75" i="65"/>
  <c r="K84" i="65"/>
  <c r="Q84" i="65" s="1"/>
  <c r="O85" i="65"/>
  <c r="O108" i="65"/>
  <c r="I24" i="65"/>
  <c r="I29" i="65" s="1"/>
  <c r="N39" i="65"/>
  <c r="I48" i="65"/>
  <c r="I47" i="65" s="1"/>
  <c r="I68" i="65"/>
  <c r="I87" i="65"/>
  <c r="R87" i="65" s="1"/>
  <c r="O58" i="65"/>
  <c r="Q64" i="65"/>
  <c r="I78" i="65"/>
  <c r="G89" i="65"/>
  <c r="G99" i="65" s="1"/>
  <c r="O51" i="65"/>
  <c r="O50" i="65" s="1"/>
  <c r="M89" i="65"/>
  <c r="M102" i="65" s="1"/>
  <c r="M101" i="65" s="1"/>
  <c r="O47" i="65"/>
  <c r="I84" i="65"/>
  <c r="N85" i="65"/>
  <c r="R100" i="65"/>
  <c r="K81" i="65"/>
  <c r="Q81" i="65" s="1"/>
  <c r="M94" i="65"/>
  <c r="O32" i="65"/>
  <c r="I65" i="65"/>
  <c r="R65" i="65" s="1"/>
  <c r="Q65" i="65"/>
  <c r="R41" i="65"/>
  <c r="P35" i="65"/>
  <c r="K35" i="65"/>
  <c r="L35" i="65" s="1"/>
  <c r="R35" i="65" s="1"/>
  <c r="H39" i="65"/>
  <c r="I40" i="65"/>
  <c r="I15" i="65"/>
  <c r="O29" i="65"/>
  <c r="Q74" i="65"/>
  <c r="I74" i="65"/>
  <c r="R74" i="65" s="1"/>
  <c r="N109" i="65"/>
  <c r="N110" i="65" s="1"/>
  <c r="M110" i="65"/>
  <c r="G102" i="65"/>
  <c r="G94" i="65"/>
  <c r="G21" i="65"/>
  <c r="G93" i="65"/>
  <c r="H16" i="65"/>
  <c r="H21" i="65" s="1"/>
  <c r="R34" i="65"/>
  <c r="N75" i="65"/>
  <c r="I16" i="65"/>
  <c r="O15" i="65"/>
  <c r="O21" i="65" s="1"/>
  <c r="O39" i="65"/>
  <c r="I19" i="65"/>
  <c r="R19" i="65" s="1"/>
  <c r="Q19" i="65"/>
  <c r="M21" i="65"/>
  <c r="P42" i="65"/>
  <c r="K42" i="65"/>
  <c r="Q42" i="65" s="1"/>
  <c r="H51" i="65"/>
  <c r="I52" i="65"/>
  <c r="N58" i="65"/>
  <c r="I75" i="65"/>
  <c r="Q83" i="65"/>
  <c r="Q88" i="65"/>
  <c r="I88" i="65"/>
  <c r="M93" i="65"/>
  <c r="M97" i="65" s="1"/>
  <c r="R108" i="65"/>
  <c r="Q15" i="65"/>
  <c r="R20" i="65"/>
  <c r="N29" i="65"/>
  <c r="H32" i="65"/>
  <c r="I33" i="65"/>
  <c r="Q41" i="65"/>
  <c r="H110" i="65"/>
  <c r="I109" i="65"/>
  <c r="N16" i="65"/>
  <c r="N21" i="65" s="1"/>
  <c r="J32" i="65"/>
  <c r="P33" i="65"/>
  <c r="P40" i="65"/>
  <c r="P34" i="65"/>
  <c r="P41" i="65"/>
  <c r="N51" i="65"/>
  <c r="N50" i="65" s="1"/>
  <c r="N55" i="65" s="1"/>
  <c r="L77" i="65"/>
  <c r="R77" i="65" s="1"/>
  <c r="O83" i="65"/>
  <c r="O75" i="65" s="1"/>
  <c r="L88" i="65"/>
  <c r="L113" i="65"/>
  <c r="R113" i="65" s="1"/>
  <c r="Q34" i="65"/>
  <c r="H58" i="65"/>
  <c r="H66" i="65"/>
  <c r="L73" i="65"/>
  <c r="R73" i="65" s="1"/>
  <c r="K33" i="65"/>
  <c r="K40" i="65"/>
  <c r="G55" i="65"/>
  <c r="L84" i="65" l="1"/>
  <c r="R84" i="65" s="1"/>
  <c r="M99" i="65"/>
  <c r="O99" i="65" s="1"/>
  <c r="Q35" i="65"/>
  <c r="H89" i="65"/>
  <c r="N89" i="65"/>
  <c r="L81" i="65"/>
  <c r="R81" i="65" s="1"/>
  <c r="L42" i="65"/>
  <c r="R42" i="65" s="1"/>
  <c r="K32" i="65"/>
  <c r="Q32" i="65" s="1"/>
  <c r="I58" i="65"/>
  <c r="L33" i="65"/>
  <c r="L32" i="65" s="1"/>
  <c r="O89" i="65"/>
  <c r="O102" i="65" s="1"/>
  <c r="O101" i="65" s="1"/>
  <c r="I66" i="65"/>
  <c r="M112" i="65"/>
  <c r="M116" i="65" s="1"/>
  <c r="M98" i="65"/>
  <c r="O98" i="65" s="1"/>
  <c r="I85" i="65"/>
  <c r="O97" i="65"/>
  <c r="G92" i="65"/>
  <c r="H93" i="65"/>
  <c r="G98" i="65"/>
  <c r="I51" i="65"/>
  <c r="N94" i="65"/>
  <c r="O94" i="65" s="1"/>
  <c r="H50" i="65"/>
  <c r="R83" i="65"/>
  <c r="I99" i="65"/>
  <c r="L40" i="65"/>
  <c r="R40" i="65" s="1"/>
  <c r="I32" i="65"/>
  <c r="O109" i="65"/>
  <c r="O110" i="65" s="1"/>
  <c r="G112" i="65"/>
  <c r="G116" i="65" s="1"/>
  <c r="N102" i="65"/>
  <c r="N101" i="65" s="1"/>
  <c r="H112" i="65"/>
  <c r="H116" i="65" s="1"/>
  <c r="H94" i="65"/>
  <c r="I94" i="65" s="1"/>
  <c r="Q33" i="65"/>
  <c r="M92" i="65"/>
  <c r="N93" i="65"/>
  <c r="O93" i="65" s="1"/>
  <c r="Q40" i="65"/>
  <c r="P32" i="65"/>
  <c r="G101" i="65"/>
  <c r="I21" i="65"/>
  <c r="R15" i="65"/>
  <c r="O55" i="65"/>
  <c r="I110" i="65"/>
  <c r="R88" i="65"/>
  <c r="G97" i="65"/>
  <c r="I39" i="65"/>
  <c r="I89" i="65" l="1"/>
  <c r="R33" i="65"/>
  <c r="N112" i="65"/>
  <c r="N116" i="65" s="1"/>
  <c r="M95" i="65"/>
  <c r="O95" i="65" s="1"/>
  <c r="H92" i="65"/>
  <c r="I97" i="65"/>
  <c r="G95" i="65"/>
  <c r="G105" i="65" s="1"/>
  <c r="G111" i="65" s="1"/>
  <c r="G115" i="65" s="1"/>
  <c r="I98" i="65"/>
  <c r="N92" i="65"/>
  <c r="N105" i="65" s="1"/>
  <c r="N111" i="65" s="1"/>
  <c r="N115" i="65" s="1"/>
  <c r="H55" i="65"/>
  <c r="I50" i="65"/>
  <c r="I102" i="65" s="1"/>
  <c r="I93" i="65"/>
  <c r="O92" i="65"/>
  <c r="O105" i="65" s="1"/>
  <c r="O111" i="65" s="1"/>
  <c r="O115" i="65" s="1"/>
  <c r="O112" i="65"/>
  <c r="O116" i="65" s="1"/>
  <c r="M105" i="65"/>
  <c r="M111" i="65" s="1"/>
  <c r="M115" i="65" s="1"/>
  <c r="R32" i="65"/>
  <c r="H102" i="65"/>
  <c r="E12" i="63"/>
  <c r="I55" i="65" l="1"/>
  <c r="I95" i="65"/>
  <c r="I92" i="65"/>
  <c r="I112" i="65"/>
  <c r="I116" i="65" s="1"/>
  <c r="I101" i="65"/>
  <c r="H101" i="65"/>
  <c r="H105" i="65" s="1"/>
  <c r="H111" i="65" s="1"/>
  <c r="H115" i="65" s="1"/>
  <c r="I105" i="65" l="1"/>
  <c r="I111" i="65" s="1"/>
  <c r="I115" i="65" s="1"/>
  <c r="E13" i="63" l="1"/>
  <c r="D26" i="49" s="1"/>
  <c r="G80" i="5" l="1"/>
  <c r="J80" i="65"/>
  <c r="D24" i="48"/>
  <c r="P80" i="65" l="1"/>
  <c r="K80" i="65"/>
  <c r="Q80" i="65" s="1"/>
  <c r="E11" i="61"/>
  <c r="E11" i="62"/>
  <c r="E12" i="62" s="1"/>
  <c r="J79" i="65" s="1"/>
  <c r="L80" i="65" l="1"/>
  <c r="R80" i="65" s="1"/>
  <c r="E13" i="61"/>
  <c r="P79" i="65"/>
  <c r="K79" i="65"/>
  <c r="Q79" i="65" s="1"/>
  <c r="D30" i="60"/>
  <c r="D24" i="60"/>
  <c r="D25" i="60" s="1"/>
  <c r="J70" i="65" s="1"/>
  <c r="I4" i="60"/>
  <c r="E28" i="60" s="1"/>
  <c r="F28" i="60" s="1"/>
  <c r="J78" i="65" l="1"/>
  <c r="D26" i="52"/>
  <c r="G83" i="5" s="1"/>
  <c r="E29" i="60"/>
  <c r="F29" i="60" s="1"/>
  <c r="L79" i="65"/>
  <c r="R79" i="65" s="1"/>
  <c r="P70" i="65"/>
  <c r="K70" i="65"/>
  <c r="Q70" i="65" s="1"/>
  <c r="E26" i="60"/>
  <c r="E27" i="60"/>
  <c r="F27" i="60" s="1"/>
  <c r="E24" i="60"/>
  <c r="E25" i="60" s="1"/>
  <c r="D21" i="60"/>
  <c r="D22" i="60"/>
  <c r="K78" i="65" l="1"/>
  <c r="P78" i="65"/>
  <c r="H93" i="5"/>
  <c r="L70" i="65"/>
  <c r="R70" i="65" s="1"/>
  <c r="F24" i="60"/>
  <c r="F25" i="60" s="1"/>
  <c r="D18" i="60"/>
  <c r="D13" i="60"/>
  <c r="E30" i="60"/>
  <c r="F26" i="60"/>
  <c r="F30" i="60" s="1"/>
  <c r="D19" i="60"/>
  <c r="D17" i="60"/>
  <c r="Q78" i="65" l="1"/>
  <c r="L78" i="65"/>
  <c r="R78" i="65" s="1"/>
  <c r="I93" i="5"/>
  <c r="D14" i="60"/>
  <c r="B36" i="33" l="1"/>
  <c r="E129" i="5" l="1"/>
  <c r="C6" i="78" l="1"/>
  <c r="C6" i="77"/>
  <c r="C6" i="76"/>
  <c r="C6" i="75"/>
  <c r="C6" i="60"/>
  <c r="C6" i="53"/>
  <c r="C6" i="50"/>
  <c r="C6" i="47"/>
  <c r="C6" i="49"/>
  <c r="C6" i="52"/>
  <c r="C6" i="48"/>
  <c r="C6" i="51"/>
  <c r="D15" i="6" l="1"/>
  <c r="J86" i="65"/>
  <c r="J114" i="65"/>
  <c r="J37" i="65"/>
  <c r="D15" i="78" l="1"/>
  <c r="E15" i="78" s="1"/>
  <c r="F15" i="78" s="1"/>
  <c r="D15" i="76"/>
  <c r="E15" i="76" s="1"/>
  <c r="F15" i="76" s="1"/>
  <c r="D15" i="75"/>
  <c r="E15" i="75" s="1"/>
  <c r="F15" i="75" s="1"/>
  <c r="D15" i="77"/>
  <c r="E15" i="77" s="1"/>
  <c r="F15" i="77" s="1"/>
  <c r="D15" i="60"/>
  <c r="P86" i="65"/>
  <c r="J85" i="65"/>
  <c r="P85" i="65" s="1"/>
  <c r="K86" i="65"/>
  <c r="P37" i="65"/>
  <c r="K37" i="65"/>
  <c r="Q37" i="65" s="1"/>
  <c r="P114" i="65"/>
  <c r="K114" i="65"/>
  <c r="Q114" i="65" s="1"/>
  <c r="E22" i="60"/>
  <c r="F22" i="60" s="1"/>
  <c r="E21" i="60"/>
  <c r="F21" i="60" s="1"/>
  <c r="D20" i="75" l="1"/>
  <c r="D20" i="78"/>
  <c r="D20" i="77"/>
  <c r="D20" i="76"/>
  <c r="D20" i="60"/>
  <c r="L37" i="65"/>
  <c r="R37" i="65" s="1"/>
  <c r="L114" i="65"/>
  <c r="R114" i="65" s="1"/>
  <c r="L86" i="65"/>
  <c r="Q86" i="65"/>
  <c r="K85" i="65"/>
  <c r="Q85" i="65" s="1"/>
  <c r="E13" i="60"/>
  <c r="F13" i="60" s="1"/>
  <c r="E15" i="60"/>
  <c r="F15" i="60" s="1"/>
  <c r="E18" i="60"/>
  <c r="F18" i="60" s="1"/>
  <c r="E20" i="77" l="1"/>
  <c r="D16" i="77"/>
  <c r="D12" i="77" s="1"/>
  <c r="D23" i="77" s="1"/>
  <c r="D31" i="77" s="1"/>
  <c r="D16" i="78"/>
  <c r="D12" i="78" s="1"/>
  <c r="D23" i="78" s="1"/>
  <c r="D31" i="78" s="1"/>
  <c r="E20" i="78"/>
  <c r="E20" i="76"/>
  <c r="D16" i="76"/>
  <c r="D12" i="76" s="1"/>
  <c r="D23" i="76" s="1"/>
  <c r="D31" i="76" s="1"/>
  <c r="E20" i="75"/>
  <c r="D16" i="75"/>
  <c r="D12" i="75" s="1"/>
  <c r="D23" i="75" s="1"/>
  <c r="D31" i="75" s="1"/>
  <c r="R86" i="65"/>
  <c r="L85" i="65"/>
  <c r="R85" i="65" s="1"/>
  <c r="E19" i="60"/>
  <c r="F19" i="60" s="1"/>
  <c r="E17" i="60"/>
  <c r="F17" i="60" s="1"/>
  <c r="D16" i="60"/>
  <c r="E20" i="60"/>
  <c r="F20" i="60" s="1"/>
  <c r="F20" i="76" l="1"/>
  <c r="F16" i="76" s="1"/>
  <c r="F12" i="76" s="1"/>
  <c r="F23" i="76" s="1"/>
  <c r="F31" i="76" s="1"/>
  <c r="E16" i="76"/>
  <c r="E12" i="76" s="1"/>
  <c r="E23" i="76" s="1"/>
  <c r="E31" i="76" s="1"/>
  <c r="F20" i="78"/>
  <c r="F16" i="78" s="1"/>
  <c r="F12" i="78" s="1"/>
  <c r="F23" i="78" s="1"/>
  <c r="F31" i="78" s="1"/>
  <c r="E16" i="78"/>
  <c r="E12" i="78" s="1"/>
  <c r="E23" i="78" s="1"/>
  <c r="E31" i="78" s="1"/>
  <c r="F20" i="75"/>
  <c r="F16" i="75" s="1"/>
  <c r="F12" i="75" s="1"/>
  <c r="F23" i="75" s="1"/>
  <c r="F31" i="75" s="1"/>
  <c r="E16" i="75"/>
  <c r="E12" i="75" s="1"/>
  <c r="E23" i="75" s="1"/>
  <c r="E31" i="75" s="1"/>
  <c r="F20" i="77"/>
  <c r="F16" i="77" s="1"/>
  <c r="F12" i="77" s="1"/>
  <c r="F23" i="77" s="1"/>
  <c r="F31" i="77" s="1"/>
  <c r="E16" i="77"/>
  <c r="E12" i="77" s="1"/>
  <c r="E23" i="77" s="1"/>
  <c r="E31" i="77" s="1"/>
  <c r="E16" i="60"/>
  <c r="F16" i="60"/>
  <c r="E14" i="60" l="1"/>
  <c r="D12" i="60"/>
  <c r="D23" i="60" l="1"/>
  <c r="J63" i="65" s="1"/>
  <c r="P63" i="65" s="1"/>
  <c r="F14" i="60"/>
  <c r="F12" i="60" s="1"/>
  <c r="F23" i="60" s="1"/>
  <c r="F31" i="60" s="1"/>
  <c r="E12" i="60"/>
  <c r="E23" i="60" s="1"/>
  <c r="E31" i="60" s="1"/>
  <c r="H83" i="5"/>
  <c r="I83" i="5" s="1"/>
  <c r="H79" i="5"/>
  <c r="I79" i="5" s="1"/>
  <c r="H86" i="5"/>
  <c r="H84" i="5"/>
  <c r="I84" i="5" s="1"/>
  <c r="I107" i="5"/>
  <c r="I103" i="5"/>
  <c r="H116" i="5"/>
  <c r="G41" i="5"/>
  <c r="G40" i="5"/>
  <c r="G34" i="5"/>
  <c r="G33" i="5"/>
  <c r="D36" i="54"/>
  <c r="H18" i="54" s="1"/>
  <c r="G9" i="54"/>
  <c r="H95" i="5"/>
  <c r="I95" i="5" s="1"/>
  <c r="H87" i="5"/>
  <c r="I87" i="5" s="1"/>
  <c r="H81" i="5"/>
  <c r="I81" i="5" s="1"/>
  <c r="H80" i="5"/>
  <c r="I80" i="5" s="1"/>
  <c r="H17" i="5"/>
  <c r="I17" i="5" s="1"/>
  <c r="H16" i="5"/>
  <c r="H13" i="5"/>
  <c r="H40" i="5" l="1"/>
  <c r="G39" i="5"/>
  <c r="H42" i="5"/>
  <c r="I42" i="5" s="1"/>
  <c r="I37" i="5"/>
  <c r="H19" i="54"/>
  <c r="I19" i="54" s="1"/>
  <c r="I14" i="54"/>
  <c r="D31" i="60"/>
  <c r="K63" i="65"/>
  <c r="L63" i="65" s="1"/>
  <c r="R63" i="65" s="1"/>
  <c r="D13" i="53"/>
  <c r="D13" i="50"/>
  <c r="D13" i="47"/>
  <c r="D13" i="52"/>
  <c r="H34" i="5"/>
  <c r="H78" i="5"/>
  <c r="I78" i="5" s="1"/>
  <c r="H33" i="5"/>
  <c r="H41" i="5"/>
  <c r="I41" i="5" s="1"/>
  <c r="H35" i="5"/>
  <c r="I35" i="5" s="1"/>
  <c r="G32" i="5"/>
  <c r="H11" i="54"/>
  <c r="H10" i="54"/>
  <c r="H12" i="54"/>
  <c r="H17" i="54"/>
  <c r="I40" i="5"/>
  <c r="I86" i="5"/>
  <c r="I16" i="5"/>
  <c r="D13" i="48"/>
  <c r="D13" i="51"/>
  <c r="D13" i="49"/>
  <c r="D24" i="49"/>
  <c r="D24" i="6"/>
  <c r="D30" i="53"/>
  <c r="D24" i="53"/>
  <c r="D25" i="53" s="1"/>
  <c r="J69" i="65" s="1"/>
  <c r="I4" i="53"/>
  <c r="E27" i="53" s="1"/>
  <c r="F27" i="53" s="1"/>
  <c r="D24" i="52"/>
  <c r="D25" i="52" s="1"/>
  <c r="H76" i="5" s="1"/>
  <c r="I76" i="5" s="1"/>
  <c r="I4" i="52"/>
  <c r="E29" i="52" s="1"/>
  <c r="F29" i="52" s="1"/>
  <c r="D30" i="51"/>
  <c r="I4" i="51"/>
  <c r="E27" i="51" s="1"/>
  <c r="F27" i="51" s="1"/>
  <c r="D24" i="50"/>
  <c r="D25" i="50" s="1"/>
  <c r="I4" i="50"/>
  <c r="E27" i="50" s="1"/>
  <c r="F27" i="50" s="1"/>
  <c r="D30" i="49"/>
  <c r="I4" i="49"/>
  <c r="E27" i="49" s="1"/>
  <c r="F27" i="49" s="1"/>
  <c r="D25" i="48"/>
  <c r="I4" i="48"/>
  <c r="E27" i="48" s="1"/>
  <c r="F27" i="48" s="1"/>
  <c r="D24" i="47"/>
  <c r="D25" i="47" s="1"/>
  <c r="I4" i="47"/>
  <c r="E29" i="47" s="1"/>
  <c r="F29" i="47" s="1"/>
  <c r="Q63" i="65" l="1"/>
  <c r="I11" i="54"/>
  <c r="I10" i="54"/>
  <c r="J72" i="65"/>
  <c r="K72" i="65" s="1"/>
  <c r="P69" i="65"/>
  <c r="K69" i="65"/>
  <c r="Q69" i="65" s="1"/>
  <c r="L69" i="65"/>
  <c r="R69" i="65" s="1"/>
  <c r="E27" i="47"/>
  <c r="F27" i="47" s="1"/>
  <c r="J68" i="65"/>
  <c r="E27" i="52"/>
  <c r="F27" i="52" s="1"/>
  <c r="H71" i="5"/>
  <c r="I71" i="5" s="1"/>
  <c r="I34" i="5"/>
  <c r="H32" i="5"/>
  <c r="I33" i="5"/>
  <c r="H9" i="54"/>
  <c r="I12" i="54"/>
  <c r="I18" i="54"/>
  <c r="I17" i="54"/>
  <c r="D18" i="53"/>
  <c r="D21" i="52"/>
  <c r="D21" i="53"/>
  <c r="D22" i="53"/>
  <c r="D22" i="52"/>
  <c r="E13" i="51"/>
  <c r="E13" i="53"/>
  <c r="F13" i="53" s="1"/>
  <c r="D30" i="48"/>
  <c r="D30" i="50"/>
  <c r="E29" i="53"/>
  <c r="F29" i="53" s="1"/>
  <c r="E24" i="53"/>
  <c r="E25" i="53" s="1"/>
  <c r="E28" i="53"/>
  <c r="F28" i="53" s="1"/>
  <c r="E26" i="53"/>
  <c r="E26" i="52"/>
  <c r="E13" i="52"/>
  <c r="E24" i="52"/>
  <c r="E25" i="52" s="1"/>
  <c r="E28" i="52"/>
  <c r="F28" i="52" s="1"/>
  <c r="D30" i="52"/>
  <c r="D24" i="51"/>
  <c r="E26" i="51"/>
  <c r="F26" i="51" s="1"/>
  <c r="E29" i="51"/>
  <c r="F29" i="51" s="1"/>
  <c r="E28" i="51"/>
  <c r="F28" i="51" s="1"/>
  <c r="E13" i="50"/>
  <c r="F13" i="50" s="1"/>
  <c r="E26" i="50"/>
  <c r="E29" i="50"/>
  <c r="F29" i="50" s="1"/>
  <c r="E24" i="50"/>
  <c r="E25" i="50" s="1"/>
  <c r="E28" i="50"/>
  <c r="F28" i="50" s="1"/>
  <c r="E13" i="49"/>
  <c r="E26" i="49"/>
  <c r="F26" i="49" s="1"/>
  <c r="E29" i="49"/>
  <c r="F29" i="49" s="1"/>
  <c r="E28" i="49"/>
  <c r="F28" i="49" s="1"/>
  <c r="E26" i="48"/>
  <c r="F26" i="48" s="1"/>
  <c r="E13" i="48"/>
  <c r="E29" i="48"/>
  <c r="F29" i="48" s="1"/>
  <c r="E24" i="48"/>
  <c r="E25" i="48" s="1"/>
  <c r="E28" i="48"/>
  <c r="F28" i="48" s="1"/>
  <c r="E26" i="47"/>
  <c r="E13" i="47"/>
  <c r="E24" i="47"/>
  <c r="E25" i="47" s="1"/>
  <c r="E28" i="47"/>
  <c r="F28" i="47" s="1"/>
  <c r="D30" i="47"/>
  <c r="P72" i="65" l="1"/>
  <c r="H72" i="5"/>
  <c r="H74" i="5"/>
  <c r="K68" i="65"/>
  <c r="P68" i="65"/>
  <c r="L72" i="65"/>
  <c r="R72" i="65" s="1"/>
  <c r="Q72" i="65"/>
  <c r="I32" i="5"/>
  <c r="I9" i="54"/>
  <c r="D17" i="52"/>
  <c r="D19" i="52"/>
  <c r="D20" i="52"/>
  <c r="D20" i="53"/>
  <c r="D19" i="53"/>
  <c r="D15" i="53"/>
  <c r="F24" i="50"/>
  <c r="F25" i="50" s="1"/>
  <c r="D15" i="52"/>
  <c r="E30" i="53"/>
  <c r="F26" i="53"/>
  <c r="F30" i="53" s="1"/>
  <c r="F24" i="53"/>
  <c r="F25" i="53" s="1"/>
  <c r="F13" i="52"/>
  <c r="E30" i="52"/>
  <c r="F26" i="52"/>
  <c r="F30" i="52" s="1"/>
  <c r="F24" i="52"/>
  <c r="F25" i="52" s="1"/>
  <c r="F30" i="51"/>
  <c r="E24" i="51"/>
  <c r="E25" i="51" s="1"/>
  <c r="D25" i="51"/>
  <c r="F13" i="51"/>
  <c r="E30" i="51"/>
  <c r="E30" i="50"/>
  <c r="F26" i="50"/>
  <c r="F30" i="50" s="1"/>
  <c r="E24" i="49"/>
  <c r="E25" i="49" s="1"/>
  <c r="D25" i="49"/>
  <c r="H73" i="5" s="1"/>
  <c r="I73" i="5" s="1"/>
  <c r="E30" i="49"/>
  <c r="F30" i="49"/>
  <c r="F13" i="49"/>
  <c r="F30" i="48"/>
  <c r="F24" i="48"/>
  <c r="F25" i="48" s="1"/>
  <c r="F13" i="48"/>
  <c r="E30" i="48"/>
  <c r="F13" i="47"/>
  <c r="E30" i="47"/>
  <c r="F26" i="47"/>
  <c r="F30" i="47" s="1"/>
  <c r="F24" i="47"/>
  <c r="F25" i="47" s="1"/>
  <c r="H75" i="5" l="1"/>
  <c r="L68" i="65"/>
  <c r="R68" i="65" s="1"/>
  <c r="Q68" i="65"/>
  <c r="J71" i="65"/>
  <c r="P71" i="65" s="1"/>
  <c r="I74" i="5"/>
  <c r="I72" i="5"/>
  <c r="D17" i="53"/>
  <c r="F24" i="51"/>
  <c r="F25" i="51" s="1"/>
  <c r="F24" i="49"/>
  <c r="F25" i="49" s="1"/>
  <c r="I75" i="5" l="1"/>
  <c r="K71" i="65"/>
  <c r="Q71" i="65" s="1"/>
  <c r="L71" i="65" l="1"/>
  <c r="R71" i="65" s="1"/>
  <c r="D14" i="52"/>
  <c r="D14" i="53"/>
  <c r="AK37" i="33" l="1"/>
  <c r="Y39" i="33"/>
  <c r="Y34" i="33" l="1"/>
  <c r="Y38" i="33" s="1"/>
  <c r="E22" i="43"/>
  <c r="E23" i="43"/>
  <c r="E24" i="43"/>
  <c r="E25" i="43"/>
  <c r="E26" i="43"/>
  <c r="E27" i="43"/>
  <c r="E28" i="43"/>
  <c r="E29" i="43"/>
  <c r="E30" i="43"/>
  <c r="E31" i="43"/>
  <c r="E32" i="43"/>
  <c r="E33" i="43"/>
  <c r="E34" i="43"/>
  <c r="E35" i="43"/>
  <c r="E36" i="43"/>
  <c r="E37" i="43"/>
  <c r="E38" i="43"/>
  <c r="E39" i="43"/>
  <c r="E40" i="43"/>
  <c r="E41" i="43"/>
  <c r="E19" i="45" l="1"/>
  <c r="E27" i="45"/>
  <c r="E28" i="45"/>
  <c r="E29" i="45"/>
  <c r="E14" i="45"/>
  <c r="E15" i="45"/>
  <c r="E16" i="45"/>
  <c r="E17" i="45"/>
  <c r="E18" i="45"/>
  <c r="E20" i="45"/>
  <c r="E21" i="45"/>
  <c r="E22" i="45"/>
  <c r="E23" i="45"/>
  <c r="E24" i="45"/>
  <c r="D14" i="43"/>
  <c r="E14" i="43" s="1"/>
  <c r="E26" i="45"/>
  <c r="E13" i="45"/>
  <c r="E30" i="45" l="1"/>
  <c r="E13" i="43"/>
  <c r="E21" i="43" l="1"/>
  <c r="E17" i="43" l="1"/>
  <c r="E19" i="43"/>
  <c r="E18" i="43" l="1"/>
  <c r="E16" i="43"/>
  <c r="E42" i="43" s="1"/>
  <c r="D14" i="50" l="1"/>
  <c r="D14" i="51"/>
  <c r="D14" i="49"/>
  <c r="D14" i="47" l="1"/>
  <c r="D14" i="48" l="1"/>
  <c r="D13" i="6" l="1"/>
  <c r="L501" i="41" l="1"/>
  <c r="N501" i="41" s="1"/>
  <c r="O501" i="41" s="1"/>
  <c r="P501" i="41" s="1"/>
  <c r="L500" i="41"/>
  <c r="N500" i="41" s="1"/>
  <c r="O500" i="41" s="1"/>
  <c r="P500" i="41" s="1"/>
  <c r="N499" i="41"/>
  <c r="O499" i="41" s="1"/>
  <c r="P499" i="41" s="1"/>
  <c r="P498" i="41" s="1"/>
  <c r="L495" i="41"/>
  <c r="N495" i="41" s="1"/>
  <c r="O495" i="41" s="1"/>
  <c r="P495" i="41" s="1"/>
  <c r="N494" i="41"/>
  <c r="O494" i="41" s="1"/>
  <c r="P494" i="41" s="1"/>
  <c r="N493" i="41"/>
  <c r="O493" i="41" s="1"/>
  <c r="P493" i="41" s="1"/>
  <c r="L492" i="41"/>
  <c r="N491" i="41"/>
  <c r="O491" i="41" s="1"/>
  <c r="P491" i="41" s="1"/>
  <c r="L490" i="41"/>
  <c r="N490" i="41" s="1"/>
  <c r="O490" i="41" s="1"/>
  <c r="P490" i="41" s="1"/>
  <c r="L489" i="41"/>
  <c r="L496" i="41" s="1"/>
  <c r="N496" i="41" s="1"/>
  <c r="O496" i="41" s="1"/>
  <c r="P496" i="41" s="1"/>
  <c r="L488" i="41"/>
  <c r="N488" i="41" s="1"/>
  <c r="O488" i="41" s="1"/>
  <c r="P488" i="41" s="1"/>
  <c r="L487" i="41"/>
  <c r="N487" i="41" s="1"/>
  <c r="O487" i="41" s="1"/>
  <c r="P487" i="41" s="1"/>
  <c r="L486" i="41"/>
  <c r="N486" i="41" s="1"/>
  <c r="O486" i="41" s="1"/>
  <c r="P486" i="41" s="1"/>
  <c r="L483" i="41"/>
  <c r="N483" i="41" s="1"/>
  <c r="O483" i="41" s="1"/>
  <c r="P483" i="41" s="1"/>
  <c r="L482" i="41"/>
  <c r="N482" i="41" s="1"/>
  <c r="O482" i="41" s="1"/>
  <c r="P482" i="41" s="1"/>
  <c r="L480" i="41"/>
  <c r="N480" i="41" s="1"/>
  <c r="O480" i="41" s="1"/>
  <c r="P480" i="41" s="1"/>
  <c r="L479" i="41"/>
  <c r="N479" i="41" s="1"/>
  <c r="O479" i="41" s="1"/>
  <c r="P479" i="41" s="1"/>
  <c r="L478" i="41"/>
  <c r="N478" i="41" s="1"/>
  <c r="O478" i="41" s="1"/>
  <c r="P478" i="41" s="1"/>
  <c r="L477" i="41"/>
  <c r="N477" i="41" s="1"/>
  <c r="O477" i="41" s="1"/>
  <c r="P477" i="41" s="1"/>
  <c r="N476" i="41"/>
  <c r="O476" i="41" s="1"/>
  <c r="P476" i="41" s="1"/>
  <c r="N475" i="41"/>
  <c r="O475" i="41" s="1"/>
  <c r="P475" i="41" s="1"/>
  <c r="N472" i="41"/>
  <c r="O472" i="41" s="1"/>
  <c r="P472" i="41" s="1"/>
  <c r="L469" i="41"/>
  <c r="N469" i="41" s="1"/>
  <c r="O469" i="41" s="1"/>
  <c r="P469" i="41" s="1"/>
  <c r="N466" i="41"/>
  <c r="O466" i="41" s="1"/>
  <c r="P466" i="41" s="1"/>
  <c r="L465" i="41"/>
  <c r="N465" i="41" s="1"/>
  <c r="O465" i="41" s="1"/>
  <c r="P465" i="41" s="1"/>
  <c r="L464" i="41"/>
  <c r="N464" i="41" s="1"/>
  <c r="O464" i="41" s="1"/>
  <c r="P464" i="41" s="1"/>
  <c r="L463" i="41"/>
  <c r="N463" i="41" s="1"/>
  <c r="O463" i="41" s="1"/>
  <c r="P463" i="41" s="1"/>
  <c r="N460" i="41"/>
  <c r="O460" i="41" s="1"/>
  <c r="P460" i="41" s="1"/>
  <c r="N459" i="41"/>
  <c r="O459" i="41" s="1"/>
  <c r="P459" i="41" s="1"/>
  <c r="N458" i="41"/>
  <c r="O458" i="41" s="1"/>
  <c r="P458" i="41" s="1"/>
  <c r="N457" i="41"/>
  <c r="O457" i="41" s="1"/>
  <c r="P457" i="41" s="1"/>
  <c r="N456" i="41"/>
  <c r="O456" i="41" s="1"/>
  <c r="N455" i="41"/>
  <c r="O455" i="41" s="1"/>
  <c r="L454" i="41"/>
  <c r="N454" i="41" s="1"/>
  <c r="O454" i="41" s="1"/>
  <c r="N453" i="41"/>
  <c r="O453" i="41" s="1"/>
  <c r="G453" i="41"/>
  <c r="P453" i="41" s="1"/>
  <c r="N452" i="41"/>
  <c r="O452" i="41" s="1"/>
  <c r="G452" i="41"/>
  <c r="G455" i="41" s="1"/>
  <c r="P455" i="41" s="1"/>
  <c r="N451" i="41"/>
  <c r="O451" i="41" s="1"/>
  <c r="G451" i="41"/>
  <c r="G454" i="41" s="1"/>
  <c r="L450" i="41"/>
  <c r="N450" i="41" s="1"/>
  <c r="O450" i="41" s="1"/>
  <c r="G450" i="41"/>
  <c r="L449" i="41"/>
  <c r="N449" i="41" s="1"/>
  <c r="O449" i="41" s="1"/>
  <c r="G449" i="41"/>
  <c r="N448" i="41"/>
  <c r="O448" i="41" s="1"/>
  <c r="P448" i="41" s="1"/>
  <c r="N447" i="41"/>
  <c r="O447" i="41" s="1"/>
  <c r="P447" i="41" s="1"/>
  <c r="N446" i="41"/>
  <c r="O446" i="41" s="1"/>
  <c r="P446" i="41" s="1"/>
  <c r="N445" i="41"/>
  <c r="O445" i="41" s="1"/>
  <c r="P445" i="41" s="1"/>
  <c r="N444" i="41"/>
  <c r="O444" i="41" s="1"/>
  <c r="P444" i="41" s="1"/>
  <c r="N443" i="41"/>
  <c r="O443" i="41" s="1"/>
  <c r="P443" i="41" s="1"/>
  <c r="N442" i="41"/>
  <c r="O442" i="41" s="1"/>
  <c r="P442" i="41" s="1"/>
  <c r="N441" i="41"/>
  <c r="O441" i="41" s="1"/>
  <c r="P441" i="41" s="1"/>
  <c r="L440" i="41"/>
  <c r="N440" i="41" s="1"/>
  <c r="O440" i="41" s="1"/>
  <c r="P440" i="41" s="1"/>
  <c r="N439" i="41"/>
  <c r="O439" i="41" s="1"/>
  <c r="P439" i="41" s="1"/>
  <c r="N438" i="41"/>
  <c r="O438" i="41" s="1"/>
  <c r="P438" i="41" s="1"/>
  <c r="L437" i="41"/>
  <c r="N437" i="41" s="1"/>
  <c r="O437" i="41" s="1"/>
  <c r="P437" i="41" s="1"/>
  <c r="L436" i="41"/>
  <c r="N436" i="41" s="1"/>
  <c r="O436" i="41" s="1"/>
  <c r="P436" i="41" s="1"/>
  <c r="N435" i="41"/>
  <c r="N434" i="41"/>
  <c r="O434" i="41" s="1"/>
  <c r="P434" i="41" s="1"/>
  <c r="N433" i="41"/>
  <c r="O433" i="41" s="1"/>
  <c r="P433" i="41" s="1"/>
  <c r="N432" i="41"/>
  <c r="O432" i="41" s="1"/>
  <c r="G432" i="41"/>
  <c r="G431" i="41" s="1"/>
  <c r="N431" i="41"/>
  <c r="O431" i="41" s="1"/>
  <c r="N430" i="41"/>
  <c r="O430" i="41" s="1"/>
  <c r="P430" i="41" s="1"/>
  <c r="N429" i="41"/>
  <c r="O429" i="41" s="1"/>
  <c r="P429" i="41" s="1"/>
  <c r="N428" i="41"/>
  <c r="O428" i="41" s="1"/>
  <c r="P428" i="41" s="1"/>
  <c r="N427" i="41"/>
  <c r="O427" i="41" s="1"/>
  <c r="P427" i="41" s="1"/>
  <c r="N426" i="41"/>
  <c r="N425" i="41"/>
  <c r="O425" i="41" s="1"/>
  <c r="P425" i="41" s="1"/>
  <c r="L424" i="41"/>
  <c r="N424" i="41" s="1"/>
  <c r="O424" i="41" s="1"/>
  <c r="P424" i="41" s="1"/>
  <c r="N423" i="41"/>
  <c r="O423" i="41" s="1"/>
  <c r="N422" i="41"/>
  <c r="O422" i="41" s="1"/>
  <c r="G422" i="41"/>
  <c r="G423" i="41" s="1"/>
  <c r="N421" i="41"/>
  <c r="O421" i="41" s="1"/>
  <c r="P421" i="41" s="1"/>
  <c r="N420" i="41"/>
  <c r="O420" i="41" s="1"/>
  <c r="P420" i="41" s="1"/>
  <c r="L419" i="41"/>
  <c r="N419" i="41" s="1"/>
  <c r="O419" i="41" s="1"/>
  <c r="G419" i="41"/>
  <c r="L418" i="41"/>
  <c r="N418" i="41" s="1"/>
  <c r="O418" i="41" s="1"/>
  <c r="P418" i="41" s="1"/>
  <c r="L417" i="41"/>
  <c r="N417" i="41" s="1"/>
  <c r="O417" i="41" s="1"/>
  <c r="P417" i="41" s="1"/>
  <c r="L416" i="41"/>
  <c r="N416" i="41" s="1"/>
  <c r="O416" i="41" s="1"/>
  <c r="P416" i="41" s="1"/>
  <c r="L415" i="41"/>
  <c r="N415" i="41" s="1"/>
  <c r="O415" i="41" s="1"/>
  <c r="P415" i="41" s="1"/>
  <c r="N414" i="41"/>
  <c r="O414" i="41" s="1"/>
  <c r="P414" i="41" s="1"/>
  <c r="N413" i="41"/>
  <c r="O413" i="41" s="1"/>
  <c r="P413" i="41" s="1"/>
  <c r="N410" i="41"/>
  <c r="O410" i="41" s="1"/>
  <c r="G410" i="41"/>
  <c r="L409" i="41"/>
  <c r="N409" i="41" s="1"/>
  <c r="O409" i="41" s="1"/>
  <c r="P409" i="41" s="1"/>
  <c r="L408" i="41"/>
  <c r="N408" i="41" s="1"/>
  <c r="O408" i="41" s="1"/>
  <c r="P408" i="41" s="1"/>
  <c r="N407" i="41"/>
  <c r="O407" i="41" s="1"/>
  <c r="N406" i="41"/>
  <c r="O406" i="41" s="1"/>
  <c r="G406" i="41"/>
  <c r="N405" i="41"/>
  <c r="O405" i="41" s="1"/>
  <c r="P405" i="41" s="1"/>
  <c r="N404" i="41"/>
  <c r="O404" i="41" s="1"/>
  <c r="P404" i="41" s="1"/>
  <c r="N403" i="41"/>
  <c r="O403" i="41" s="1"/>
  <c r="P403" i="41" s="1"/>
  <c r="N402" i="41"/>
  <c r="O402" i="41" s="1"/>
  <c r="P402" i="41" s="1"/>
  <c r="N401" i="41"/>
  <c r="O401" i="41" s="1"/>
  <c r="P401" i="41" s="1"/>
  <c r="N400" i="41"/>
  <c r="N399" i="41"/>
  <c r="N398" i="41"/>
  <c r="O398" i="41" s="1"/>
  <c r="P398" i="41" s="1"/>
  <c r="N397" i="41"/>
  <c r="O397" i="41" s="1"/>
  <c r="P397" i="41" s="1"/>
  <c r="L396" i="41"/>
  <c r="N396" i="41" s="1"/>
  <c r="O396" i="41" s="1"/>
  <c r="P396" i="41" s="1"/>
  <c r="L395" i="41"/>
  <c r="N395" i="41" s="1"/>
  <c r="O395" i="41" s="1"/>
  <c r="P395" i="41" s="1"/>
  <c r="N394" i="41"/>
  <c r="O394" i="41" s="1"/>
  <c r="P394" i="41" s="1"/>
  <c r="N393" i="41"/>
  <c r="O393" i="41" s="1"/>
  <c r="P393" i="41" s="1"/>
  <c r="N392" i="41"/>
  <c r="O392" i="41" s="1"/>
  <c r="P392" i="41" s="1"/>
  <c r="N391" i="41"/>
  <c r="O391" i="41" s="1"/>
  <c r="P391" i="41" s="1"/>
  <c r="N390" i="41"/>
  <c r="N389" i="41"/>
  <c r="O389" i="41" s="1"/>
  <c r="P389" i="41" s="1"/>
  <c r="L388" i="41"/>
  <c r="N388" i="41" s="1"/>
  <c r="O388" i="41" s="1"/>
  <c r="P388" i="41" s="1"/>
  <c r="L387" i="41"/>
  <c r="N387" i="41" s="1"/>
  <c r="O387" i="41" s="1"/>
  <c r="P387" i="41" s="1"/>
  <c r="L386" i="41"/>
  <c r="N386" i="41" s="1"/>
  <c r="O386" i="41" s="1"/>
  <c r="P386" i="41" s="1"/>
  <c r="L385" i="41"/>
  <c r="N385" i="41" s="1"/>
  <c r="O385" i="41" s="1"/>
  <c r="P385" i="41" s="1"/>
  <c r="L384" i="41"/>
  <c r="N384" i="41" s="1"/>
  <c r="O384" i="41" s="1"/>
  <c r="P384" i="41" s="1"/>
  <c r="N383" i="41"/>
  <c r="O383" i="41" s="1"/>
  <c r="P383" i="41" s="1"/>
  <c r="L382" i="41"/>
  <c r="N382" i="41" s="1"/>
  <c r="O382" i="41" s="1"/>
  <c r="P382" i="41" s="1"/>
  <c r="L381" i="41"/>
  <c r="N381" i="41" s="1"/>
  <c r="O381" i="41" s="1"/>
  <c r="P381" i="41" s="1"/>
  <c r="L380" i="41"/>
  <c r="N380" i="41" s="1"/>
  <c r="O380" i="41" s="1"/>
  <c r="P380" i="41" s="1"/>
  <c r="L379" i="41"/>
  <c r="N379" i="41" s="1"/>
  <c r="O379" i="41" s="1"/>
  <c r="P379" i="41" s="1"/>
  <c r="L378" i="41"/>
  <c r="N378" i="41" s="1"/>
  <c r="O378" i="41" s="1"/>
  <c r="P378" i="41" s="1"/>
  <c r="N377" i="41"/>
  <c r="N376" i="41"/>
  <c r="O376" i="41" s="1"/>
  <c r="P376" i="41" s="1"/>
  <c r="N375" i="41"/>
  <c r="O375" i="41" s="1"/>
  <c r="P375" i="41" s="1"/>
  <c r="N374" i="41"/>
  <c r="O374" i="41" s="1"/>
  <c r="P374" i="41" s="1"/>
  <c r="N373" i="41"/>
  <c r="O373" i="41" s="1"/>
  <c r="P373" i="41" s="1"/>
  <c r="N372" i="41"/>
  <c r="O372" i="41" s="1"/>
  <c r="P372" i="41" s="1"/>
  <c r="N371" i="41"/>
  <c r="O371" i="41" s="1"/>
  <c r="P371" i="41" s="1"/>
  <c r="N370" i="41"/>
  <c r="N369" i="41"/>
  <c r="O369" i="41" s="1"/>
  <c r="P369" i="41" s="1"/>
  <c r="N368" i="41"/>
  <c r="O368" i="41" s="1"/>
  <c r="P368" i="41" s="1"/>
  <c r="G368" i="41"/>
  <c r="L367" i="41"/>
  <c r="N367" i="41" s="1"/>
  <c r="O367" i="41" s="1"/>
  <c r="P367" i="41" s="1"/>
  <c r="L366" i="41"/>
  <c r="N366" i="41" s="1"/>
  <c r="O366" i="41" s="1"/>
  <c r="P366" i="41" s="1"/>
  <c r="L365" i="41"/>
  <c r="N365" i="41" s="1"/>
  <c r="O365" i="41" s="1"/>
  <c r="P365" i="41" s="1"/>
  <c r="L364" i="41"/>
  <c r="N364" i="41" s="1"/>
  <c r="O364" i="41" s="1"/>
  <c r="P364" i="41" s="1"/>
  <c r="N363" i="41"/>
  <c r="O363" i="41" s="1"/>
  <c r="P363" i="41" s="1"/>
  <c r="N362" i="41"/>
  <c r="O362" i="41" s="1"/>
  <c r="P362" i="41" s="1"/>
  <c r="N361" i="41"/>
  <c r="O361" i="41" s="1"/>
  <c r="P361" i="41" s="1"/>
  <c r="N360" i="41"/>
  <c r="O360" i="41" s="1"/>
  <c r="P360" i="41" s="1"/>
  <c r="N359" i="41"/>
  <c r="O359" i="41" s="1"/>
  <c r="P359" i="41" s="1"/>
  <c r="N358" i="41"/>
  <c r="O358" i="41" s="1"/>
  <c r="P358" i="41" s="1"/>
  <c r="N357" i="41"/>
  <c r="O357" i="41" s="1"/>
  <c r="P357" i="41" s="1"/>
  <c r="N356" i="41"/>
  <c r="O356" i="41" s="1"/>
  <c r="P356" i="41" s="1"/>
  <c r="N355" i="41"/>
  <c r="O355" i="41" s="1"/>
  <c r="G355" i="41"/>
  <c r="N354" i="41"/>
  <c r="O354" i="41" s="1"/>
  <c r="P354" i="41" s="1"/>
  <c r="N353" i="41"/>
  <c r="N352" i="41"/>
  <c r="O352" i="41" s="1"/>
  <c r="P352" i="41" s="1"/>
  <c r="L351" i="41"/>
  <c r="N351" i="41" s="1"/>
  <c r="O351" i="41" s="1"/>
  <c r="G351" i="41"/>
  <c r="L350" i="41"/>
  <c r="N350" i="41" s="1"/>
  <c r="O350" i="41" s="1"/>
  <c r="P350" i="41" s="1"/>
  <c r="L349" i="41"/>
  <c r="N349" i="41" s="1"/>
  <c r="O349" i="41" s="1"/>
  <c r="P349" i="41" s="1"/>
  <c r="L348" i="41"/>
  <c r="N348" i="41" s="1"/>
  <c r="O348" i="41" s="1"/>
  <c r="P348" i="41" s="1"/>
  <c r="L347" i="41"/>
  <c r="N347" i="41" s="1"/>
  <c r="O347" i="41" s="1"/>
  <c r="P347" i="41" s="1"/>
  <c r="L346" i="41"/>
  <c r="N346" i="41" s="1"/>
  <c r="O346" i="41" s="1"/>
  <c r="P346" i="41" s="1"/>
  <c r="N345" i="41"/>
  <c r="O345" i="41" s="1"/>
  <c r="G345" i="41"/>
  <c r="L344" i="41"/>
  <c r="N344" i="41" s="1"/>
  <c r="O344" i="41" s="1"/>
  <c r="P344" i="41" s="1"/>
  <c r="L343" i="41"/>
  <c r="N343" i="41" s="1"/>
  <c r="O343" i="41" s="1"/>
  <c r="P343" i="41" s="1"/>
  <c r="N342" i="41"/>
  <c r="O342" i="41" s="1"/>
  <c r="P342" i="41" s="1"/>
  <c r="L341" i="41"/>
  <c r="N341" i="41" s="1"/>
  <c r="O341" i="41" s="1"/>
  <c r="P341" i="41" s="1"/>
  <c r="N340" i="41"/>
  <c r="O340" i="41" s="1"/>
  <c r="P340" i="41" s="1"/>
  <c r="L339" i="41"/>
  <c r="N339" i="41" s="1"/>
  <c r="O339" i="41" s="1"/>
  <c r="P339" i="41" s="1"/>
  <c r="L338" i="41"/>
  <c r="N338" i="41" s="1"/>
  <c r="O338" i="41" s="1"/>
  <c r="P338" i="41" s="1"/>
  <c r="L337" i="41"/>
  <c r="N337" i="41" s="1"/>
  <c r="O337" i="41" s="1"/>
  <c r="P337" i="41" s="1"/>
  <c r="N336" i="41"/>
  <c r="O336" i="41" s="1"/>
  <c r="G336" i="41"/>
  <c r="N335" i="41"/>
  <c r="N334" i="41"/>
  <c r="O334" i="41" s="1"/>
  <c r="P334" i="41" s="1"/>
  <c r="N333" i="41"/>
  <c r="O333" i="41" s="1"/>
  <c r="G333" i="41"/>
  <c r="N332" i="41"/>
  <c r="O332" i="41" s="1"/>
  <c r="G332" i="41"/>
  <c r="L331" i="41"/>
  <c r="N331" i="41" s="1"/>
  <c r="O331" i="41" s="1"/>
  <c r="G331" i="41"/>
  <c r="N330" i="41"/>
  <c r="O330" i="41" s="1"/>
  <c r="P330" i="41" s="1"/>
  <c r="L329" i="41"/>
  <c r="N329" i="41" s="1"/>
  <c r="O329" i="41" s="1"/>
  <c r="P329" i="41" s="1"/>
  <c r="L328" i="41"/>
  <c r="N328" i="41" s="1"/>
  <c r="O328" i="41" s="1"/>
  <c r="P328" i="41" s="1"/>
  <c r="L327" i="41"/>
  <c r="N327" i="41" s="1"/>
  <c r="O327" i="41" s="1"/>
  <c r="P327" i="41" s="1"/>
  <c r="N326" i="41"/>
  <c r="N325" i="41"/>
  <c r="O325" i="41" s="1"/>
  <c r="P325" i="41" s="1"/>
  <c r="N324" i="41"/>
  <c r="O324" i="41" s="1"/>
  <c r="P324" i="41" s="1"/>
  <c r="N323" i="41"/>
  <c r="O323" i="41" s="1"/>
  <c r="P323" i="41" s="1"/>
  <c r="N322" i="41"/>
  <c r="O322" i="41" s="1"/>
  <c r="P322" i="41" s="1"/>
  <c r="N321" i="41"/>
  <c r="O321" i="41" s="1"/>
  <c r="G321" i="41"/>
  <c r="N320" i="41"/>
  <c r="O320" i="41" s="1"/>
  <c r="P320" i="41" s="1"/>
  <c r="N319" i="41"/>
  <c r="O319" i="41" s="1"/>
  <c r="P319" i="41" s="1"/>
  <c r="N318" i="41"/>
  <c r="O318" i="41" s="1"/>
  <c r="P318" i="41" s="1"/>
  <c r="N317" i="41"/>
  <c r="O317" i="41" s="1"/>
  <c r="P317" i="41" s="1"/>
  <c r="N316" i="41"/>
  <c r="O316" i="41" s="1"/>
  <c r="P316" i="41" s="1"/>
  <c r="N315" i="41"/>
  <c r="O315" i="41" s="1"/>
  <c r="P315" i="41" s="1"/>
  <c r="N314" i="41"/>
  <c r="N313" i="41"/>
  <c r="O313" i="41" s="1"/>
  <c r="P313" i="41" s="1"/>
  <c r="N312" i="41"/>
  <c r="O312" i="41" s="1"/>
  <c r="N311" i="41"/>
  <c r="O311" i="41" s="1"/>
  <c r="G311" i="41"/>
  <c r="G312" i="41" s="1"/>
  <c r="P312" i="41" s="1"/>
  <c r="N310" i="41"/>
  <c r="O310" i="41" s="1"/>
  <c r="P310" i="41" s="1"/>
  <c r="N309" i="41"/>
  <c r="O309" i="41" s="1"/>
  <c r="P309" i="41" s="1"/>
  <c r="L308" i="41"/>
  <c r="N308" i="41" s="1"/>
  <c r="O308" i="41" s="1"/>
  <c r="P308" i="41" s="1"/>
  <c r="N307" i="41"/>
  <c r="O307" i="41" s="1"/>
  <c r="P307" i="41" s="1"/>
  <c r="L306" i="41"/>
  <c r="N306" i="41" s="1"/>
  <c r="O306" i="41" s="1"/>
  <c r="P306" i="41" s="1"/>
  <c r="L305" i="41"/>
  <c r="N305" i="41" s="1"/>
  <c r="O305" i="41" s="1"/>
  <c r="P305" i="41" s="1"/>
  <c r="N304" i="41"/>
  <c r="O304" i="41" s="1"/>
  <c r="P304" i="41" s="1"/>
  <c r="L303" i="41"/>
  <c r="N303" i="41" s="1"/>
  <c r="O303" i="41" s="1"/>
  <c r="G303" i="41"/>
  <c r="L302" i="41"/>
  <c r="N302" i="41" s="1"/>
  <c r="O302" i="41" s="1"/>
  <c r="G302" i="41"/>
  <c r="N301" i="41"/>
  <c r="O301" i="41" s="1"/>
  <c r="P301" i="41" s="1"/>
  <c r="N300" i="41"/>
  <c r="O300" i="41" s="1"/>
  <c r="P300" i="41" s="1"/>
  <c r="N299" i="41"/>
  <c r="O299" i="41" s="1"/>
  <c r="P299" i="41" s="1"/>
  <c r="L298" i="41"/>
  <c r="N298" i="41" s="1"/>
  <c r="O298" i="41" s="1"/>
  <c r="G298" i="41"/>
  <c r="P298" i="41" s="1"/>
  <c r="L297" i="41"/>
  <c r="N297" i="41" s="1"/>
  <c r="O297" i="41" s="1"/>
  <c r="G297" i="41"/>
  <c r="N296" i="41"/>
  <c r="O296" i="41" s="1"/>
  <c r="P296" i="41" s="1"/>
  <c r="N295" i="41"/>
  <c r="O295" i="41" s="1"/>
  <c r="P295" i="41" s="1"/>
  <c r="N294" i="41"/>
  <c r="O294" i="41" s="1"/>
  <c r="P294" i="41" s="1"/>
  <c r="N293" i="41"/>
  <c r="O293" i="41" s="1"/>
  <c r="P293" i="41" s="1"/>
  <c r="N292" i="41"/>
  <c r="O292" i="41" s="1"/>
  <c r="P292" i="41" s="1"/>
  <c r="N289" i="41"/>
  <c r="O289" i="41" s="1"/>
  <c r="P289" i="41" s="1"/>
  <c r="L288" i="41"/>
  <c r="N288" i="41" s="1"/>
  <c r="O288" i="41" s="1"/>
  <c r="P288" i="41" s="1"/>
  <c r="N287" i="41"/>
  <c r="O287" i="41" s="1"/>
  <c r="G287" i="41"/>
  <c r="P287" i="41" s="1"/>
  <c r="L286" i="41"/>
  <c r="N286" i="41" s="1"/>
  <c r="O286" i="41" s="1"/>
  <c r="P286" i="41" s="1"/>
  <c r="N285" i="41"/>
  <c r="O285" i="41" s="1"/>
  <c r="P285" i="41" s="1"/>
  <c r="L284" i="41"/>
  <c r="N284" i="41" s="1"/>
  <c r="O284" i="41" s="1"/>
  <c r="P284" i="41" s="1"/>
  <c r="L283" i="41"/>
  <c r="N283" i="41" s="1"/>
  <c r="O283" i="41" s="1"/>
  <c r="P283" i="41" s="1"/>
  <c r="L282" i="41"/>
  <c r="N282" i="41" s="1"/>
  <c r="O282" i="41" s="1"/>
  <c r="P282" i="41" s="1"/>
  <c r="L281" i="41"/>
  <c r="N281" i="41" s="1"/>
  <c r="O281" i="41" s="1"/>
  <c r="P281" i="41" s="1"/>
  <c r="L280" i="41"/>
  <c r="N280" i="41" s="1"/>
  <c r="O280" i="41" s="1"/>
  <c r="P280" i="41" s="1"/>
  <c r="N279" i="41"/>
  <c r="N278" i="41"/>
  <c r="O278" i="41" s="1"/>
  <c r="P278" i="41" s="1"/>
  <c r="N277" i="41"/>
  <c r="O277" i="41" s="1"/>
  <c r="P277" i="41" s="1"/>
  <c r="N276" i="41"/>
  <c r="O276" i="41" s="1"/>
  <c r="G276" i="41"/>
  <c r="L275" i="41"/>
  <c r="N275" i="41" s="1"/>
  <c r="O275" i="41" s="1"/>
  <c r="P275" i="41" s="1"/>
  <c r="L274" i="41"/>
  <c r="N274" i="41" s="1"/>
  <c r="O274" i="41" s="1"/>
  <c r="P274" i="41" s="1"/>
  <c r="L273" i="41"/>
  <c r="N273" i="41" s="1"/>
  <c r="O273" i="41" s="1"/>
  <c r="P273" i="41" s="1"/>
  <c r="L272" i="41"/>
  <c r="N272" i="41" s="1"/>
  <c r="O272" i="41" s="1"/>
  <c r="P272" i="41" s="1"/>
  <c r="N271" i="41"/>
  <c r="O271" i="41" s="1"/>
  <c r="P271" i="41" s="1"/>
  <c r="N270" i="41"/>
  <c r="O270" i="41" s="1"/>
  <c r="P270" i="41" s="1"/>
  <c r="N269" i="41"/>
  <c r="O269" i="41" s="1"/>
  <c r="P269" i="41" s="1"/>
  <c r="N268" i="41"/>
  <c r="O268" i="41" s="1"/>
  <c r="P268" i="41" s="1"/>
  <c r="N267" i="41"/>
  <c r="O267" i="41" s="1"/>
  <c r="P267" i="41" s="1"/>
  <c r="N266" i="41"/>
  <c r="O266" i="41" s="1"/>
  <c r="P266" i="41" s="1"/>
  <c r="N265" i="41"/>
  <c r="O265" i="41" s="1"/>
  <c r="P265" i="41" s="1"/>
  <c r="N264" i="41"/>
  <c r="O264" i="41" s="1"/>
  <c r="P264" i="41" s="1"/>
  <c r="N263" i="41"/>
  <c r="O263" i="41" s="1"/>
  <c r="P263" i="41" s="1"/>
  <c r="N260" i="41"/>
  <c r="O260" i="41" s="1"/>
  <c r="P260" i="41" s="1"/>
  <c r="N259" i="41"/>
  <c r="O259" i="41" s="1"/>
  <c r="G259" i="41"/>
  <c r="N258" i="41"/>
  <c r="O258" i="41" s="1"/>
  <c r="P258" i="41" s="1"/>
  <c r="N257" i="41"/>
  <c r="O257" i="41" s="1"/>
  <c r="G257" i="41"/>
  <c r="N256" i="41"/>
  <c r="O256" i="41" s="1"/>
  <c r="P256" i="41" s="1"/>
  <c r="N255" i="41"/>
  <c r="O255" i="41" s="1"/>
  <c r="G255" i="41"/>
  <c r="N254" i="41"/>
  <c r="O254" i="41" s="1"/>
  <c r="P254" i="41" s="1"/>
  <c r="L253" i="41"/>
  <c r="N253" i="41" s="1"/>
  <c r="O253" i="41" s="1"/>
  <c r="P253" i="41" s="1"/>
  <c r="L252" i="41"/>
  <c r="N252" i="41" s="1"/>
  <c r="O252" i="41" s="1"/>
  <c r="P252" i="41" s="1"/>
  <c r="N251" i="41"/>
  <c r="N250" i="41"/>
  <c r="O250" i="41" s="1"/>
  <c r="P250" i="41" s="1"/>
  <c r="N249" i="41"/>
  <c r="O249" i="41" s="1"/>
  <c r="G249" i="41"/>
  <c r="L248" i="41"/>
  <c r="N248" i="41" s="1"/>
  <c r="O248" i="41" s="1"/>
  <c r="P248" i="41" s="1"/>
  <c r="N247" i="41"/>
  <c r="O247" i="41" s="1"/>
  <c r="G247" i="41"/>
  <c r="L246" i="41"/>
  <c r="N246" i="41" s="1"/>
  <c r="O246" i="41" s="1"/>
  <c r="P246" i="41" s="1"/>
  <c r="N245" i="41"/>
  <c r="O245" i="41" s="1"/>
  <c r="P245" i="41" s="1"/>
  <c r="L244" i="41"/>
  <c r="N244" i="41" s="1"/>
  <c r="O244" i="41" s="1"/>
  <c r="P244" i="41" s="1"/>
  <c r="L243" i="41"/>
  <c r="N243" i="41" s="1"/>
  <c r="O243" i="41" s="1"/>
  <c r="P243" i="41" s="1"/>
  <c r="L242" i="41"/>
  <c r="N242" i="41" s="1"/>
  <c r="O242" i="41" s="1"/>
  <c r="P242" i="41" s="1"/>
  <c r="L241" i="41"/>
  <c r="N241" i="41" s="1"/>
  <c r="O241" i="41" s="1"/>
  <c r="P241" i="41" s="1"/>
  <c r="N240" i="41"/>
  <c r="O240" i="41" s="1"/>
  <c r="G240" i="41"/>
  <c r="P240" i="41" s="1"/>
  <c r="L239" i="41"/>
  <c r="N239" i="41" s="1"/>
  <c r="O239" i="41" s="1"/>
  <c r="G239" i="41"/>
  <c r="N238" i="41"/>
  <c r="O238" i="41" s="1"/>
  <c r="P238" i="41" s="1"/>
  <c r="L237" i="41"/>
  <c r="N237" i="41" s="1"/>
  <c r="O237" i="41" s="1"/>
  <c r="P237" i="41" s="1"/>
  <c r="L236" i="41"/>
  <c r="N236" i="41" s="1"/>
  <c r="O236" i="41" s="1"/>
  <c r="P236" i="41" s="1"/>
  <c r="L235" i="41"/>
  <c r="N235" i="41" s="1"/>
  <c r="O235" i="41" s="1"/>
  <c r="P235" i="41" s="1"/>
  <c r="L234" i="41"/>
  <c r="N234" i="41" s="1"/>
  <c r="O234" i="41" s="1"/>
  <c r="P234" i="41" s="1"/>
  <c r="N233" i="41"/>
  <c r="N232" i="41"/>
  <c r="O232" i="41" s="1"/>
  <c r="P232" i="41" s="1"/>
  <c r="N231" i="41"/>
  <c r="O231" i="41" s="1"/>
  <c r="G231" i="41"/>
  <c r="N230" i="41"/>
  <c r="O230" i="41" s="1"/>
  <c r="G230" i="41"/>
  <c r="N229" i="41"/>
  <c r="O229" i="41" s="1"/>
  <c r="P229" i="41" s="1"/>
  <c r="N228" i="41"/>
  <c r="O228" i="41" s="1"/>
  <c r="P228" i="41" s="1"/>
  <c r="N227" i="41"/>
  <c r="O227" i="41" s="1"/>
  <c r="P227" i="41" s="1"/>
  <c r="N226" i="41"/>
  <c r="O226" i="41" s="1"/>
  <c r="P226" i="41" s="1"/>
  <c r="N225" i="41"/>
  <c r="O225" i="41" s="1"/>
  <c r="P225" i="41" s="1"/>
  <c r="N224" i="41"/>
  <c r="N223" i="41"/>
  <c r="O223" i="41" s="1"/>
  <c r="P223" i="41" s="1"/>
  <c r="N222" i="41"/>
  <c r="O222" i="41" s="1"/>
  <c r="G222" i="41"/>
  <c r="N221" i="41"/>
  <c r="O221" i="41" s="1"/>
  <c r="P221" i="41" s="1"/>
  <c r="N220" i="41"/>
  <c r="O220" i="41" s="1"/>
  <c r="G220" i="41"/>
  <c r="N219" i="41"/>
  <c r="O219" i="41" s="1"/>
  <c r="P219" i="41" s="1"/>
  <c r="N218" i="41"/>
  <c r="O218" i="41" s="1"/>
  <c r="P218" i="41" s="1"/>
  <c r="N217" i="41"/>
  <c r="O217" i="41" s="1"/>
  <c r="P217" i="41" s="1"/>
  <c r="N216" i="41"/>
  <c r="O216" i="41" s="1"/>
  <c r="P216" i="41" s="1"/>
  <c r="N215" i="41"/>
  <c r="O215" i="41" s="1"/>
  <c r="P215" i="41" s="1"/>
  <c r="N214" i="41"/>
  <c r="O214" i="41" s="1"/>
  <c r="P214" i="41" s="1"/>
  <c r="N213" i="41"/>
  <c r="O213" i="41" s="1"/>
  <c r="P213" i="41" s="1"/>
  <c r="N212" i="41"/>
  <c r="O212" i="41" s="1"/>
  <c r="P212" i="41" s="1"/>
  <c r="N211" i="41"/>
  <c r="O211" i="41" s="1"/>
  <c r="P211" i="41" s="1"/>
  <c r="N210" i="41"/>
  <c r="O210" i="41" s="1"/>
  <c r="P210" i="41" s="1"/>
  <c r="N209" i="41"/>
  <c r="O209" i="41" s="1"/>
  <c r="P209" i="41" s="1"/>
  <c r="N208" i="41"/>
  <c r="O208" i="41" s="1"/>
  <c r="P208" i="41" s="1"/>
  <c r="N207" i="41"/>
  <c r="O207" i="41" s="1"/>
  <c r="P207" i="41" s="1"/>
  <c r="N206" i="41"/>
  <c r="O206" i="41" s="1"/>
  <c r="P206" i="41" s="1"/>
  <c r="N205" i="41"/>
  <c r="N204" i="41"/>
  <c r="O204" i="41" s="1"/>
  <c r="P204" i="41" s="1"/>
  <c r="N203" i="41"/>
  <c r="O203" i="41" s="1"/>
  <c r="P203" i="41" s="1"/>
  <c r="N202" i="41"/>
  <c r="O202" i="41" s="1"/>
  <c r="P202" i="41" s="1"/>
  <c r="N201" i="41"/>
  <c r="O201" i="41" s="1"/>
  <c r="P201" i="41" s="1"/>
  <c r="N200" i="41"/>
  <c r="O200" i="41" s="1"/>
  <c r="P200" i="41" s="1"/>
  <c r="N199" i="41"/>
  <c r="O199" i="41" s="1"/>
  <c r="P199" i="41" s="1"/>
  <c r="N198" i="41"/>
  <c r="O198" i="41" s="1"/>
  <c r="P198" i="41" s="1"/>
  <c r="N197" i="41"/>
  <c r="O197" i="41" s="1"/>
  <c r="P197" i="41" s="1"/>
  <c r="N196" i="41"/>
  <c r="O196" i="41" s="1"/>
  <c r="P196" i="41" s="1"/>
  <c r="N195" i="41"/>
  <c r="O195" i="41" s="1"/>
  <c r="P195" i="41" s="1"/>
  <c r="N194" i="41"/>
  <c r="O194" i="41" s="1"/>
  <c r="P194" i="41" s="1"/>
  <c r="N193" i="41"/>
  <c r="N192" i="41"/>
  <c r="O192" i="41" s="1"/>
  <c r="P192" i="41" s="1"/>
  <c r="N191" i="41"/>
  <c r="O191" i="41" s="1"/>
  <c r="G191" i="41"/>
  <c r="N190" i="41"/>
  <c r="O190" i="41" s="1"/>
  <c r="P190" i="41" s="1"/>
  <c r="N189" i="41"/>
  <c r="N188" i="41"/>
  <c r="O188" i="41" s="1"/>
  <c r="P188" i="41" s="1"/>
  <c r="N187" i="41"/>
  <c r="O187" i="41" s="1"/>
  <c r="P187" i="41" s="1"/>
  <c r="N186" i="41"/>
  <c r="O186" i="41" s="1"/>
  <c r="G186" i="41"/>
  <c r="N185" i="41"/>
  <c r="O185" i="41" s="1"/>
  <c r="N184" i="41"/>
  <c r="O184" i="41" s="1"/>
  <c r="P184" i="41" s="1"/>
  <c r="N183" i="41"/>
  <c r="O183" i="41" s="1"/>
  <c r="P183" i="41" s="1"/>
  <c r="N182" i="41"/>
  <c r="O182" i="41" s="1"/>
  <c r="P182" i="41" s="1"/>
  <c r="N181" i="41"/>
  <c r="N180" i="41"/>
  <c r="O180" i="41" s="1"/>
  <c r="P180" i="41" s="1"/>
  <c r="N179" i="41"/>
  <c r="O179" i="41" s="1"/>
  <c r="G179" i="41"/>
  <c r="G178" i="41" s="1"/>
  <c r="N178" i="41"/>
  <c r="O178" i="41" s="1"/>
  <c r="N177" i="41"/>
  <c r="O177" i="41" s="1"/>
  <c r="P177" i="41" s="1"/>
  <c r="N176" i="41"/>
  <c r="O176" i="41" s="1"/>
  <c r="P176" i="41" s="1"/>
  <c r="N175" i="41"/>
  <c r="O175" i="41" s="1"/>
  <c r="P175" i="41" s="1"/>
  <c r="N171" i="41"/>
  <c r="O171" i="41" s="1"/>
  <c r="N170" i="41"/>
  <c r="O170" i="41" s="1"/>
  <c r="G170" i="41"/>
  <c r="N169" i="41"/>
  <c r="N168" i="41"/>
  <c r="O168" i="41" s="1"/>
  <c r="N167" i="41"/>
  <c r="O167" i="41" s="1"/>
  <c r="G167" i="41"/>
  <c r="G168" i="41" s="1"/>
  <c r="N166" i="41"/>
  <c r="O166" i="41" s="1"/>
  <c r="P166" i="41" s="1"/>
  <c r="N164" i="41"/>
  <c r="O164" i="41" s="1"/>
  <c r="G164" i="41"/>
  <c r="N163" i="41"/>
  <c r="O163" i="41" s="1"/>
  <c r="P163" i="41" s="1"/>
  <c r="N162" i="41"/>
  <c r="N161" i="41"/>
  <c r="O161" i="41" s="1"/>
  <c r="G161" i="41"/>
  <c r="N160" i="41"/>
  <c r="O160" i="41" s="1"/>
  <c r="P160" i="41" s="1"/>
  <c r="N157" i="41"/>
  <c r="O157" i="41" s="1"/>
  <c r="G157" i="41"/>
  <c r="N156" i="41"/>
  <c r="O156" i="41" s="1"/>
  <c r="P156" i="41" s="1"/>
  <c r="N155" i="41"/>
  <c r="O155" i="41" s="1"/>
  <c r="P155" i="41" s="1"/>
  <c r="N154" i="41"/>
  <c r="O154" i="41" s="1"/>
  <c r="G154" i="41"/>
  <c r="N153" i="41"/>
  <c r="O153" i="41" s="1"/>
  <c r="P153" i="41" s="1"/>
  <c r="N152" i="41"/>
  <c r="O152" i="41" s="1"/>
  <c r="G152" i="41"/>
  <c r="N151" i="41"/>
  <c r="O151" i="41" s="1"/>
  <c r="P151" i="41" s="1"/>
  <c r="N150" i="41"/>
  <c r="O150" i="41" s="1"/>
  <c r="P150" i="41" s="1"/>
  <c r="N149" i="41"/>
  <c r="O149" i="41" s="1"/>
  <c r="P149" i="41" s="1"/>
  <c r="N148" i="41"/>
  <c r="O148" i="41" s="1"/>
  <c r="P148" i="41" s="1"/>
  <c r="N147" i="41"/>
  <c r="O147" i="41" s="1"/>
  <c r="P147" i="41" s="1"/>
  <c r="N146" i="41"/>
  <c r="O146" i="41" s="1"/>
  <c r="P146" i="41" s="1"/>
  <c r="N144" i="41"/>
  <c r="O144" i="41" s="1"/>
  <c r="G144" i="41"/>
  <c r="N143" i="41"/>
  <c r="O143" i="41" s="1"/>
  <c r="P143" i="41" s="1"/>
  <c r="N142" i="41"/>
  <c r="O142" i="41" s="1"/>
  <c r="P142" i="41" s="1"/>
  <c r="N141" i="41"/>
  <c r="O141" i="41" s="1"/>
  <c r="P141" i="41" s="1"/>
  <c r="N140" i="41"/>
  <c r="O140" i="41" s="1"/>
  <c r="P140" i="41" s="1"/>
  <c r="N138" i="41"/>
  <c r="O138" i="41" s="1"/>
  <c r="G138" i="41"/>
  <c r="N137" i="41"/>
  <c r="O137" i="41" s="1"/>
  <c r="P137" i="41" s="1"/>
  <c r="N136" i="41"/>
  <c r="O136" i="41" s="1"/>
  <c r="P136" i="41" s="1"/>
  <c r="N135" i="41"/>
  <c r="O135" i="41" s="1"/>
  <c r="P135" i="41" s="1"/>
  <c r="N134" i="41"/>
  <c r="O134" i="41" s="1"/>
  <c r="P134" i="41" s="1"/>
  <c r="N133" i="41"/>
  <c r="O133" i="41" s="1"/>
  <c r="P133" i="41" s="1"/>
  <c r="N132" i="41"/>
  <c r="N131" i="41"/>
  <c r="O131" i="41" s="1"/>
  <c r="N130" i="41"/>
  <c r="O130" i="41" s="1"/>
  <c r="P130" i="41" s="1"/>
  <c r="N129" i="41"/>
  <c r="O129" i="41" s="1"/>
  <c r="P129" i="41" s="1"/>
  <c r="N128" i="41"/>
  <c r="O128" i="41" s="1"/>
  <c r="G128" i="41"/>
  <c r="N127" i="41"/>
  <c r="O127" i="41" s="1"/>
  <c r="P127" i="41" s="1"/>
  <c r="N126" i="41"/>
  <c r="O126" i="41" s="1"/>
  <c r="G126" i="41"/>
  <c r="N125" i="41"/>
  <c r="O125" i="41" s="1"/>
  <c r="P125" i="41" s="1"/>
  <c r="N124" i="41"/>
  <c r="O124" i="41" s="1"/>
  <c r="G124" i="41"/>
  <c r="N123" i="41"/>
  <c r="O123" i="41" s="1"/>
  <c r="P123" i="41" s="1"/>
  <c r="N122" i="41"/>
  <c r="O122" i="41" s="1"/>
  <c r="P122" i="41" s="1"/>
  <c r="N121" i="41"/>
  <c r="O121" i="41" s="1"/>
  <c r="P121" i="41" s="1"/>
  <c r="N120" i="41"/>
  <c r="O120" i="41" s="1"/>
  <c r="P120" i="41" s="1"/>
  <c r="N119" i="41"/>
  <c r="O119" i="41" s="1"/>
  <c r="P119" i="41" s="1"/>
  <c r="N118" i="41"/>
  <c r="O118" i="41" s="1"/>
  <c r="P118" i="41" s="1"/>
  <c r="N117" i="41"/>
  <c r="O117" i="41" s="1"/>
  <c r="G117" i="41"/>
  <c r="N116" i="41"/>
  <c r="O116" i="41" s="1"/>
  <c r="G116" i="41"/>
  <c r="N115" i="41"/>
  <c r="O115" i="41" s="1"/>
  <c r="P115" i="41" s="1"/>
  <c r="N114" i="41"/>
  <c r="O114" i="41" s="1"/>
  <c r="P114" i="41" s="1"/>
  <c r="N113" i="41"/>
  <c r="O113" i="41" s="1"/>
  <c r="P113" i="41" s="1"/>
  <c r="G113" i="41"/>
  <c r="N112" i="41"/>
  <c r="O112" i="41" s="1"/>
  <c r="P112" i="41" s="1"/>
  <c r="G112" i="41"/>
  <c r="N111" i="41"/>
  <c r="O111" i="41" s="1"/>
  <c r="P111" i="41" s="1"/>
  <c r="N110" i="41"/>
  <c r="O110" i="41" s="1"/>
  <c r="P110" i="41" s="1"/>
  <c r="N109" i="41"/>
  <c r="O109" i="41" s="1"/>
  <c r="P109" i="41" s="1"/>
  <c r="N108" i="41"/>
  <c r="O108" i="41" s="1"/>
  <c r="P108" i="41" s="1"/>
  <c r="N107" i="41"/>
  <c r="O107" i="41" s="1"/>
  <c r="P107" i="41" s="1"/>
  <c r="N106" i="41"/>
  <c r="N105" i="41"/>
  <c r="O105" i="41" s="1"/>
  <c r="N104" i="41"/>
  <c r="O104" i="41" s="1"/>
  <c r="P104" i="41" s="1"/>
  <c r="N103" i="41"/>
  <c r="O103" i="41" s="1"/>
  <c r="G103" i="41"/>
  <c r="G105" i="41" s="1"/>
  <c r="N102" i="41"/>
  <c r="O102" i="41" s="1"/>
  <c r="P102" i="41" s="1"/>
  <c r="N101" i="41"/>
  <c r="N100" i="41"/>
  <c r="O100" i="41" s="1"/>
  <c r="N99" i="41"/>
  <c r="O99" i="41" s="1"/>
  <c r="P99" i="41" s="1"/>
  <c r="N98" i="41"/>
  <c r="O98" i="41" s="1"/>
  <c r="G98" i="41"/>
  <c r="N97" i="41"/>
  <c r="O97" i="41" s="1"/>
  <c r="G97" i="41"/>
  <c r="N96" i="41"/>
  <c r="O96" i="41" s="1"/>
  <c r="G96" i="41"/>
  <c r="N95" i="41"/>
  <c r="O95" i="41" s="1"/>
  <c r="P95" i="41" s="1"/>
  <c r="N94" i="41"/>
  <c r="O94" i="41" s="1"/>
  <c r="N93" i="41"/>
  <c r="O93" i="41" s="1"/>
  <c r="G93" i="41"/>
  <c r="N92" i="41"/>
  <c r="O92" i="41" s="1"/>
  <c r="P92" i="41" s="1"/>
  <c r="L91" i="41"/>
  <c r="N91" i="41" s="1"/>
  <c r="O91" i="41" s="1"/>
  <c r="G91" i="41"/>
  <c r="G94" i="41" s="1"/>
  <c r="N90" i="41"/>
  <c r="O90" i="41" s="1"/>
  <c r="P90" i="41" s="1"/>
  <c r="N87" i="41"/>
  <c r="O87" i="41" s="1"/>
  <c r="P87" i="41" s="1"/>
  <c r="N86" i="41"/>
  <c r="O86" i="41" s="1"/>
  <c r="P86" i="41" s="1"/>
  <c r="N85" i="41"/>
  <c r="O85" i="41" s="1"/>
  <c r="P85" i="41" s="1"/>
  <c r="N84" i="41"/>
  <c r="O84" i="41" s="1"/>
  <c r="P84" i="41" s="1"/>
  <c r="N83" i="41"/>
  <c r="O83" i="41" s="1"/>
  <c r="P83" i="41" s="1"/>
  <c r="N82" i="41"/>
  <c r="O82" i="41" s="1"/>
  <c r="P82" i="41" s="1"/>
  <c r="N81" i="41"/>
  <c r="O81" i="41" s="1"/>
  <c r="P81" i="41" s="1"/>
  <c r="N80" i="41"/>
  <c r="O80" i="41" s="1"/>
  <c r="P80" i="41" s="1"/>
  <c r="N79" i="41"/>
  <c r="O79" i="41" s="1"/>
  <c r="P79" i="41" s="1"/>
  <c r="N78" i="41"/>
  <c r="O78" i="41" s="1"/>
  <c r="P78" i="41" s="1"/>
  <c r="N77" i="41"/>
  <c r="O77" i="41" s="1"/>
  <c r="P77" i="41" s="1"/>
  <c r="N76" i="41"/>
  <c r="O76" i="41" s="1"/>
  <c r="P76" i="41" s="1"/>
  <c r="N75" i="41"/>
  <c r="O75" i="41" s="1"/>
  <c r="P75" i="41" s="1"/>
  <c r="N74" i="41"/>
  <c r="O74" i="41" s="1"/>
  <c r="P74" i="41" s="1"/>
  <c r="N73" i="41"/>
  <c r="O73" i="41" s="1"/>
  <c r="P73" i="41" s="1"/>
  <c r="N72" i="41"/>
  <c r="O72" i="41" s="1"/>
  <c r="P72" i="41" s="1"/>
  <c r="N70" i="41"/>
  <c r="O70" i="41" s="1"/>
  <c r="N69" i="41"/>
  <c r="O69" i="41" s="1"/>
  <c r="P69" i="41" s="1"/>
  <c r="N68" i="41"/>
  <c r="O68" i="41" s="1"/>
  <c r="G68" i="41"/>
  <c r="N67" i="41"/>
  <c r="O67" i="41" s="1"/>
  <c r="G67" i="41"/>
  <c r="N66" i="41"/>
  <c r="O66" i="41" s="1"/>
  <c r="G66" i="41"/>
  <c r="N65" i="41"/>
  <c r="O65" i="41" s="1"/>
  <c r="P65" i="41" s="1"/>
  <c r="N64" i="41"/>
  <c r="O64" i="41" s="1"/>
  <c r="N63" i="41"/>
  <c r="O63" i="41" s="1"/>
  <c r="G63" i="41"/>
  <c r="N62" i="41"/>
  <c r="O62" i="41" s="1"/>
  <c r="P62" i="41" s="1"/>
  <c r="L61" i="41"/>
  <c r="N61" i="41" s="1"/>
  <c r="O61" i="41" s="1"/>
  <c r="G61" i="41"/>
  <c r="N60" i="41"/>
  <c r="O60" i="41" s="1"/>
  <c r="P60" i="41" s="1"/>
  <c r="N58" i="41"/>
  <c r="O58" i="41" s="1"/>
  <c r="G58" i="41"/>
  <c r="N57" i="41"/>
  <c r="O57" i="41" s="1"/>
  <c r="P57" i="41" s="1"/>
  <c r="N56" i="41"/>
  <c r="O56" i="41" s="1"/>
  <c r="P56" i="41" s="1"/>
  <c r="N55" i="41"/>
  <c r="O55" i="41" s="1"/>
  <c r="P55" i="41" s="1"/>
  <c r="N53" i="41"/>
  <c r="O53" i="41" s="1"/>
  <c r="N52" i="41"/>
  <c r="O52" i="41" s="1"/>
  <c r="P52" i="41" s="1"/>
  <c r="N51" i="41"/>
  <c r="O51" i="41" s="1"/>
  <c r="G51" i="41"/>
  <c r="G53" i="41" s="1"/>
  <c r="N50" i="41"/>
  <c r="O50" i="41" s="1"/>
  <c r="P50" i="41" s="1"/>
  <c r="N48" i="41"/>
  <c r="O48" i="41" s="1"/>
  <c r="G48" i="41"/>
  <c r="N47" i="41"/>
  <c r="O47" i="41" s="1"/>
  <c r="P47" i="41" s="1"/>
  <c r="N45" i="41"/>
  <c r="O45" i="41" s="1"/>
  <c r="G45" i="41"/>
  <c r="G43" i="41" s="1"/>
  <c r="N44" i="41"/>
  <c r="O44" i="41" s="1"/>
  <c r="P44" i="41" s="1"/>
  <c r="N43" i="41"/>
  <c r="O43" i="41" s="1"/>
  <c r="N42" i="41"/>
  <c r="O42" i="41" s="1"/>
  <c r="P42" i="41" s="1"/>
  <c r="N41" i="41"/>
  <c r="O41" i="41" s="1"/>
  <c r="P41" i="41" s="1"/>
  <c r="N40" i="41"/>
  <c r="O40" i="41" s="1"/>
  <c r="P40" i="41" s="1"/>
  <c r="N39" i="41"/>
  <c r="O39" i="41" s="1"/>
  <c r="P39" i="41" s="1"/>
  <c r="N38" i="41"/>
  <c r="N37" i="41"/>
  <c r="O37" i="41" s="1"/>
  <c r="N36" i="41"/>
  <c r="O36" i="41" s="1"/>
  <c r="N35" i="41"/>
  <c r="O35" i="41" s="1"/>
  <c r="N34" i="41"/>
  <c r="O34" i="41" s="1"/>
  <c r="N33" i="41"/>
  <c r="O33" i="41" s="1"/>
  <c r="N32" i="41"/>
  <c r="O32" i="41" s="1"/>
  <c r="N31" i="41"/>
  <c r="O31" i="41" s="1"/>
  <c r="N30" i="41"/>
  <c r="O30" i="41" s="1"/>
  <c r="N29" i="41"/>
  <c r="G29" i="41"/>
  <c r="N28" i="41"/>
  <c r="O28" i="41" s="1"/>
  <c r="N27" i="41"/>
  <c r="O27" i="41" s="1"/>
  <c r="N26" i="41"/>
  <c r="O26" i="41" s="1"/>
  <c r="N25" i="41"/>
  <c r="O25" i="41" s="1"/>
  <c r="N24" i="41"/>
  <c r="O24" i="41" s="1"/>
  <c r="P24" i="41" s="1"/>
  <c r="N23" i="41"/>
  <c r="O23" i="41" s="1"/>
  <c r="N22" i="41"/>
  <c r="O22" i="41" s="1"/>
  <c r="N21" i="41"/>
  <c r="O21" i="41" s="1"/>
  <c r="N20" i="41"/>
  <c r="O20" i="41" s="1"/>
  <c r="G20" i="41"/>
  <c r="G22" i="41" s="1"/>
  <c r="N19" i="41"/>
  <c r="N18" i="41"/>
  <c r="O18" i="41" s="1"/>
  <c r="N17" i="41"/>
  <c r="O17" i="41" s="1"/>
  <c r="G17" i="41"/>
  <c r="G16" i="41" s="1"/>
  <c r="N16" i="41"/>
  <c r="O16" i="41" s="1"/>
  <c r="N15" i="41"/>
  <c r="O15" i="41" s="1"/>
  <c r="N14" i="41"/>
  <c r="O14" i="41" s="1"/>
  <c r="G14" i="41"/>
  <c r="N13" i="41"/>
  <c r="O13" i="41" s="1"/>
  <c r="G13" i="41"/>
  <c r="N12" i="41"/>
  <c r="O12" i="41" s="1"/>
  <c r="G12" i="41"/>
  <c r="K16" i="37"/>
  <c r="L16" i="37" s="1"/>
  <c r="H16" i="37"/>
  <c r="E16" i="37"/>
  <c r="G61" i="37"/>
  <c r="L61" i="37" s="1"/>
  <c r="G62" i="37"/>
  <c r="L62" i="37"/>
  <c r="L63" i="37"/>
  <c r="L66" i="37"/>
  <c r="L70" i="37"/>
  <c r="G72" i="37"/>
  <c r="L72" i="37" s="1"/>
  <c r="L73" i="37"/>
  <c r="L74" i="37"/>
  <c r="G76" i="37"/>
  <c r="L76" i="37" s="1"/>
  <c r="G77" i="37"/>
  <c r="L77" i="37" s="1"/>
  <c r="L78" i="37"/>
  <c r="G80" i="37"/>
  <c r="L80" i="37" s="1"/>
  <c r="G81" i="37"/>
  <c r="L81" i="37" s="1"/>
  <c r="G82" i="37"/>
  <c r="L82" i="37" s="1"/>
  <c r="L83" i="37"/>
  <c r="L84" i="37"/>
  <c r="L85" i="37"/>
  <c r="G86" i="37"/>
  <c r="L86" i="37" s="1"/>
  <c r="L87" i="37"/>
  <c r="L88" i="37"/>
  <c r="L89" i="37"/>
  <c r="L90" i="37"/>
  <c r="K15" i="37"/>
  <c r="L15" i="37" s="1"/>
  <c r="H15" i="37"/>
  <c r="E15" i="37"/>
  <c r="K13" i="37"/>
  <c r="L13" i="37" s="1"/>
  <c r="H13" i="37"/>
  <c r="E13" i="37"/>
  <c r="K12" i="37"/>
  <c r="H12" i="37"/>
  <c r="E12" i="37"/>
  <c r="K10" i="37"/>
  <c r="L10" i="37" s="1"/>
  <c r="H10" i="37"/>
  <c r="E10" i="37"/>
  <c r="K9" i="37"/>
  <c r="L9" i="37" s="1"/>
  <c r="H9" i="37"/>
  <c r="E9" i="37"/>
  <c r="K6" i="37"/>
  <c r="L6" i="37" s="1"/>
  <c r="H6" i="37"/>
  <c r="E6" i="37"/>
  <c r="K5" i="37"/>
  <c r="L5" i="37" s="1"/>
  <c r="H5" i="37"/>
  <c r="E5" i="37"/>
  <c r="K435" i="37"/>
  <c r="L435" i="37" s="1"/>
  <c r="K434" i="37"/>
  <c r="L434" i="37" s="1"/>
  <c r="G431" i="37"/>
  <c r="L431" i="37" s="1"/>
  <c r="G430" i="37"/>
  <c r="L430" i="37" s="1"/>
  <c r="L419" i="37"/>
  <c r="K376" i="37"/>
  <c r="L376" i="37" s="1"/>
  <c r="L375" i="37"/>
  <c r="L374" i="37"/>
  <c r="K373" i="37"/>
  <c r="L373" i="37" s="1"/>
  <c r="L372" i="37"/>
  <c r="K371" i="37"/>
  <c r="L371" i="37" s="1"/>
  <c r="K370" i="37"/>
  <c r="K377" i="37" s="1"/>
  <c r="L377" i="37" s="1"/>
  <c r="K369" i="37"/>
  <c r="L369" i="37" s="1"/>
  <c r="L360" i="37"/>
  <c r="G357" i="37"/>
  <c r="G351" i="37"/>
  <c r="G354" i="37" s="1"/>
  <c r="G350" i="37"/>
  <c r="G353" i="37" s="1"/>
  <c r="G348" i="37"/>
  <c r="G347" i="37"/>
  <c r="G338" i="37"/>
  <c r="G349" i="37" s="1"/>
  <c r="G352" i="37" s="1"/>
  <c r="L332" i="37"/>
  <c r="G327" i="37"/>
  <c r="G324" i="37"/>
  <c r="G323" i="37"/>
  <c r="G322" i="37"/>
  <c r="L319" i="37"/>
  <c r="L317" i="37"/>
  <c r="K315" i="37"/>
  <c r="L315" i="37" s="1"/>
  <c r="K313" i="37"/>
  <c r="G313" i="37"/>
  <c r="L312" i="37"/>
  <c r="K311" i="37"/>
  <c r="G311" i="37"/>
  <c r="K310" i="37"/>
  <c r="G310" i="37"/>
  <c r="G316" i="37" s="1"/>
  <c r="L316" i="37" s="1"/>
  <c r="K309" i="37"/>
  <c r="L309" i="37" s="1"/>
  <c r="K308" i="37"/>
  <c r="L308" i="37" s="1"/>
  <c r="K306" i="37"/>
  <c r="G306" i="37"/>
  <c r="L306" i="37" s="1"/>
  <c r="L305" i="37"/>
  <c r="K304" i="37"/>
  <c r="G304" i="37"/>
  <c r="K303" i="37"/>
  <c r="L303" i="37" s="1"/>
  <c r="K302" i="37"/>
  <c r="L302" i="37" s="1"/>
  <c r="K301" i="37"/>
  <c r="L301" i="37" s="1"/>
  <c r="K292" i="37"/>
  <c r="L292" i="37" s="1"/>
  <c r="K291" i="37"/>
  <c r="L291" i="37" s="1"/>
  <c r="G283" i="37"/>
  <c r="G282" i="37"/>
  <c r="L280" i="37"/>
  <c r="G274" i="37"/>
  <c r="G275" i="37" s="1"/>
  <c r="G269" i="37"/>
  <c r="G268" i="37"/>
  <c r="L267" i="37"/>
  <c r="G263" i="37"/>
  <c r="G262" i="37"/>
  <c r="G261" i="37"/>
  <c r="G260" i="37"/>
  <c r="G256" i="37"/>
  <c r="G255" i="37"/>
  <c r="L249" i="37"/>
  <c r="G246" i="37"/>
  <c r="G244" i="37"/>
  <c r="G245" i="37" s="1"/>
  <c r="G242" i="37"/>
  <c r="G243" i="37" s="1"/>
  <c r="G241" i="37"/>
  <c r="G240" i="37"/>
  <c r="L238" i="37"/>
  <c r="L234" i="37"/>
  <c r="K228" i="37"/>
  <c r="G228" i="37"/>
  <c r="K227" i="37"/>
  <c r="L227" i="37" s="1"/>
  <c r="K226" i="37"/>
  <c r="L226" i="37" s="1"/>
  <c r="K225" i="37"/>
  <c r="L225" i="37" s="1"/>
  <c r="K224" i="37"/>
  <c r="L224" i="37" s="1"/>
  <c r="K223" i="37"/>
  <c r="L223" i="37" s="1"/>
  <c r="L222" i="37"/>
  <c r="G215" i="37"/>
  <c r="G212" i="37"/>
  <c r="G213" i="37" s="1"/>
  <c r="G214" i="37" s="1"/>
  <c r="G211" i="37"/>
  <c r="G208" i="37"/>
  <c r="G207" i="37"/>
  <c r="G206" i="37"/>
  <c r="G204" i="37"/>
  <c r="L201" i="37"/>
  <c r="L200" i="37"/>
  <c r="L199" i="37"/>
  <c r="L198" i="37"/>
  <c r="K197" i="37"/>
  <c r="L197" i="37" s="1"/>
  <c r="L196" i="37"/>
  <c r="K195" i="37"/>
  <c r="L195" i="37" s="1"/>
  <c r="L194" i="37"/>
  <c r="K193" i="37"/>
  <c r="L193" i="37" s="1"/>
  <c r="L191" i="37"/>
  <c r="L190" i="37"/>
  <c r="L189" i="37"/>
  <c r="L188" i="37"/>
  <c r="L187" i="37"/>
  <c r="L186" i="37"/>
  <c r="G180" i="37"/>
  <c r="G172" i="37" s="1"/>
  <c r="G171" i="37"/>
  <c r="G170" i="37"/>
  <c r="G174" i="37" s="1"/>
  <c r="G165" i="37"/>
  <c r="G164" i="37"/>
  <c r="G167" i="37" s="1"/>
  <c r="G163" i="37"/>
  <c r="G162" i="37"/>
  <c r="G156" i="37"/>
  <c r="G155" i="37"/>
  <c r="G161" i="37" s="1"/>
  <c r="G154" i="37"/>
  <c r="G153" i="37"/>
  <c r="G140" i="37"/>
  <c r="G139" i="37"/>
  <c r="G138" i="37"/>
  <c r="G137" i="37"/>
  <c r="G136" i="37"/>
  <c r="G135" i="37"/>
  <c r="G134" i="37"/>
  <c r="G131" i="37"/>
  <c r="G130" i="37"/>
  <c r="G129" i="37"/>
  <c r="G133" i="37" s="1"/>
  <c r="G126" i="37"/>
  <c r="G125" i="37"/>
  <c r="G124" i="37"/>
  <c r="G123" i="37"/>
  <c r="G127" i="37" s="1"/>
  <c r="L118" i="37"/>
  <c r="G115" i="37"/>
  <c r="G116" i="37" s="1"/>
  <c r="L116" i="37" s="1"/>
  <c r="L114" i="37"/>
  <c r="L113" i="37"/>
  <c r="G112" i="37"/>
  <c r="L112" i="37" s="1"/>
  <c r="L111" i="37"/>
  <c r="G111" i="37"/>
  <c r="L109" i="37"/>
  <c r="G107" i="37"/>
  <c r="L107" i="37" s="1"/>
  <c r="G105" i="37"/>
  <c r="L105" i="37" s="1"/>
  <c r="L104" i="37"/>
  <c r="L103" i="37"/>
  <c r="G102" i="37"/>
  <c r="L102" i="37" s="1"/>
  <c r="G101" i="37"/>
  <c r="L101" i="37" s="1"/>
  <c r="G100" i="37"/>
  <c r="L100" i="37" s="1"/>
  <c r="G99" i="37"/>
  <c r="L99" i="37" s="1"/>
  <c r="G98" i="37"/>
  <c r="L98" i="37" s="1"/>
  <c r="G97" i="37"/>
  <c r="L97" i="37" s="1"/>
  <c r="G96" i="37"/>
  <c r="L96" i="37" s="1"/>
  <c r="G95" i="37"/>
  <c r="L95" i="37" s="1"/>
  <c r="G94" i="37"/>
  <c r="L94" i="37" s="1"/>
  <c r="G93" i="37"/>
  <c r="G92" i="37"/>
  <c r="L92" i="37" s="1"/>
  <c r="L57" i="37"/>
  <c r="L12" i="37"/>
  <c r="F67" i="38"/>
  <c r="F52" i="38"/>
  <c r="F51" i="38"/>
  <c r="F50" i="38"/>
  <c r="F49" i="38"/>
  <c r="F48" i="38"/>
  <c r="F47" i="38"/>
  <c r="F46" i="38"/>
  <c r="F53" i="38" s="1"/>
  <c r="F43" i="38"/>
  <c r="F42" i="38"/>
  <c r="F39" i="38"/>
  <c r="F37" i="38"/>
  <c r="F28" i="38"/>
  <c r="F22" i="38"/>
  <c r="F21" i="38"/>
  <c r="F55" i="38" s="1"/>
  <c r="F20" i="38"/>
  <c r="F54" i="38" s="1"/>
  <c r="F18" i="38"/>
  <c r="F24" i="38" s="1"/>
  <c r="F17" i="38"/>
  <c r="F15" i="38"/>
  <c r="F14" i="38"/>
  <c r="F11" i="38"/>
  <c r="F13" i="38" s="1"/>
  <c r="P355" i="41" l="1"/>
  <c r="P259" i="41"/>
  <c r="L231" i="37"/>
  <c r="L311" i="37"/>
  <c r="P423" i="41"/>
  <c r="G210" i="37"/>
  <c r="P331" i="41"/>
  <c r="P345" i="41"/>
  <c r="L115" i="37"/>
  <c r="G173" i="37"/>
  <c r="G247" i="37"/>
  <c r="L304" i="37"/>
  <c r="L313" i="37"/>
  <c r="G314" i="37"/>
  <c r="L314" i="37" s="1"/>
  <c r="P164" i="41"/>
  <c r="P230" i="41"/>
  <c r="P231" i="41"/>
  <c r="P247" i="41"/>
  <c r="P255" i="41"/>
  <c r="F16" i="38"/>
  <c r="F19" i="38"/>
  <c r="P170" i="41"/>
  <c r="G106" i="37"/>
  <c r="L106" i="37" s="1"/>
  <c r="L370" i="37"/>
  <c r="L367" i="37" s="1"/>
  <c r="L366" i="37" s="1"/>
  <c r="L364" i="37" s="1"/>
  <c r="L120" i="37"/>
  <c r="G65" i="37"/>
  <c r="L65" i="37" s="1"/>
  <c r="P117" i="41"/>
  <c r="G108" i="37"/>
  <c r="L108" i="37" s="1"/>
  <c r="G128" i="37"/>
  <c r="G264" i="37"/>
  <c r="G307" i="37"/>
  <c r="L307" i="37" s="1"/>
  <c r="G117" i="37"/>
  <c r="L117" i="37" s="1"/>
  <c r="L228" i="37"/>
  <c r="P97" i="41"/>
  <c r="P220" i="41"/>
  <c r="P66" i="41"/>
  <c r="P116" i="41"/>
  <c r="P126" i="41"/>
  <c r="P302" i="41"/>
  <c r="P178" i="41"/>
  <c r="G456" i="41"/>
  <c r="P456" i="41" s="1"/>
  <c r="P43" i="41"/>
  <c r="P68" i="41"/>
  <c r="P51" i="41"/>
  <c r="P67" i="41"/>
  <c r="P410" i="41"/>
  <c r="P419" i="41"/>
  <c r="P422" i="41"/>
  <c r="G26" i="41"/>
  <c r="P26" i="41" s="1"/>
  <c r="P12" i="41"/>
  <c r="P63" i="41"/>
  <c r="N492" i="41"/>
  <c r="O492" i="41" s="1"/>
  <c r="P492" i="41" s="1"/>
  <c r="L481" i="41"/>
  <c r="N481" i="41" s="1"/>
  <c r="O481" i="41" s="1"/>
  <c r="P481" i="41" s="1"/>
  <c r="P14" i="41"/>
  <c r="P17" i="41"/>
  <c r="G27" i="41"/>
  <c r="P27" i="41" s="1"/>
  <c r="P105" i="41"/>
  <c r="P152" i="41"/>
  <c r="P249" i="41"/>
  <c r="P276" i="41"/>
  <c r="P261" i="41" s="1"/>
  <c r="P20" i="41"/>
  <c r="P191" i="41"/>
  <c r="P13" i="41"/>
  <c r="P16" i="41"/>
  <c r="G131" i="41"/>
  <c r="P131" i="41" s="1"/>
  <c r="P406" i="41"/>
  <c r="P467" i="41"/>
  <c r="P311" i="41"/>
  <c r="P333" i="41"/>
  <c r="P53" i="41"/>
  <c r="P58" i="41"/>
  <c r="P93" i="41"/>
  <c r="P103" i="41"/>
  <c r="P154" i="41"/>
  <c r="P161" i="41"/>
  <c r="P167" i="41"/>
  <c r="P336" i="41"/>
  <c r="P432" i="41"/>
  <c r="P451" i="41"/>
  <c r="P452" i="41"/>
  <c r="N489" i="41"/>
  <c r="O489" i="41" s="1"/>
  <c r="P489" i="41" s="1"/>
  <c r="P48" i="41"/>
  <c r="G64" i="41"/>
  <c r="P64" i="41" s="1"/>
  <c r="P96" i="41"/>
  <c r="P98" i="41"/>
  <c r="P128" i="41"/>
  <c r="P157" i="41"/>
  <c r="P168" i="41"/>
  <c r="P179" i="41"/>
  <c r="P239" i="41"/>
  <c r="P257" i="41"/>
  <c r="P303" i="41"/>
  <c r="P332" i="41"/>
  <c r="P431" i="41"/>
  <c r="P449" i="41"/>
  <c r="P454" i="41"/>
  <c r="G23" i="41"/>
  <c r="P23" i="41" s="1"/>
  <c r="P22" i="41"/>
  <c r="G15" i="41"/>
  <c r="P15" i="41" s="1"/>
  <c r="G18" i="41"/>
  <c r="P18" i="41" s="1"/>
  <c r="G185" i="41"/>
  <c r="P185" i="41" s="1"/>
  <c r="P186" i="41"/>
  <c r="G21" i="41"/>
  <c r="P21" i="41" s="1"/>
  <c r="G25" i="41"/>
  <c r="G36" i="41"/>
  <c r="G35" i="41"/>
  <c r="P35" i="41" s="1"/>
  <c r="G33" i="41"/>
  <c r="P33" i="41" s="1"/>
  <c r="G31" i="41"/>
  <c r="P45" i="41"/>
  <c r="P94" i="41"/>
  <c r="G100" i="41"/>
  <c r="P100" i="41" s="1"/>
  <c r="P124" i="41"/>
  <c r="P138" i="41"/>
  <c r="P144" i="41"/>
  <c r="P222" i="41"/>
  <c r="P61" i="41"/>
  <c r="G171" i="41"/>
  <c r="P171" i="41" s="1"/>
  <c r="P91" i="41"/>
  <c r="P297" i="41"/>
  <c r="P321" i="41"/>
  <c r="P351" i="41"/>
  <c r="P474" i="41"/>
  <c r="G407" i="41"/>
  <c r="P407" i="41" s="1"/>
  <c r="P461" i="41"/>
  <c r="P450" i="41"/>
  <c r="L14" i="37"/>
  <c r="L8" i="37"/>
  <c r="L4" i="37"/>
  <c r="G64" i="37"/>
  <c r="L64" i="37" s="1"/>
  <c r="G71" i="37"/>
  <c r="L71" i="37" s="1"/>
  <c r="L288" i="37"/>
  <c r="L287" i="37" s="1"/>
  <c r="L289" i="37"/>
  <c r="L11" i="37"/>
  <c r="L220" i="37"/>
  <c r="G432" i="37"/>
  <c r="L93" i="37"/>
  <c r="G209" i="37"/>
  <c r="G132" i="37"/>
  <c r="L310" i="37"/>
  <c r="L299" i="37" s="1"/>
  <c r="L295" i="37" s="1"/>
  <c r="L59" i="37" l="1"/>
  <c r="L55" i="37" s="1"/>
  <c r="L54" i="37" s="1"/>
  <c r="L230" i="37"/>
  <c r="L7" i="37"/>
  <c r="L3" i="37" s="1"/>
  <c r="L2" i="37" s="1"/>
  <c r="P485" i="41"/>
  <c r="P484" i="41" s="1"/>
  <c r="P290" i="41"/>
  <c r="G70" i="41"/>
  <c r="P70" i="41" s="1"/>
  <c r="P88" i="41"/>
  <c r="P411" i="41"/>
  <c r="P158" i="41"/>
  <c r="P173" i="41"/>
  <c r="P172" i="41" s="1"/>
  <c r="G34" i="41"/>
  <c r="P36" i="41"/>
  <c r="G32" i="41"/>
  <c r="P32" i="41" s="1"/>
  <c r="G30" i="41"/>
  <c r="P30" i="41" s="1"/>
  <c r="P31" i="41"/>
  <c r="G28" i="41"/>
  <c r="P28" i="41" s="1"/>
  <c r="P25" i="41"/>
  <c r="L294" i="37"/>
  <c r="G433" i="37"/>
  <c r="L433" i="37" s="1"/>
  <c r="L432" i="37"/>
  <c r="L428" i="37" l="1"/>
  <c r="L417" i="37" s="1"/>
  <c r="L416" i="37" s="1"/>
  <c r="G37" i="41"/>
  <c r="P37" i="41" s="1"/>
  <c r="P34" i="41"/>
  <c r="P10" i="41" s="1"/>
  <c r="P9" i="41" s="1"/>
  <c r="P7" i="41" s="1"/>
  <c r="D22" i="51" l="1"/>
  <c r="D21" i="51" l="1"/>
  <c r="D18" i="51"/>
  <c r="D15" i="51"/>
  <c r="D17" i="51" l="1"/>
  <c r="D20" i="51"/>
  <c r="D19" i="51"/>
  <c r="F178" i="35"/>
  <c r="F177" i="35"/>
  <c r="F132" i="35"/>
  <c r="F122" i="35"/>
  <c r="F121" i="35"/>
  <c r="F120" i="35"/>
  <c r="F119" i="35"/>
  <c r="F118" i="35"/>
  <c r="F117" i="35"/>
  <c r="F116" i="35"/>
  <c r="F123" i="35" s="1"/>
  <c r="F113" i="35"/>
  <c r="F112" i="35"/>
  <c r="F109" i="35"/>
  <c r="F107" i="35"/>
  <c r="F98" i="35"/>
  <c r="F92" i="35"/>
  <c r="F91" i="35"/>
  <c r="F125" i="35" s="1"/>
  <c r="F90" i="35"/>
  <c r="F124" i="35" s="1"/>
  <c r="F88" i="35"/>
  <c r="F94" i="35" s="1"/>
  <c r="F87" i="35"/>
  <c r="F85" i="35"/>
  <c r="F84" i="35"/>
  <c r="F81" i="35"/>
  <c r="F83" i="35" s="1"/>
  <c r="F89" i="35" l="1"/>
  <c r="F86" i="35"/>
  <c r="D22" i="50" l="1"/>
  <c r="D22" i="49"/>
  <c r="D22" i="48"/>
  <c r="D22" i="47"/>
  <c r="D15" i="48" l="1"/>
  <c r="D21" i="49"/>
  <c r="D21" i="48"/>
  <c r="D21" i="50"/>
  <c r="D18" i="50"/>
  <c r="D15" i="50"/>
  <c r="D18" i="49"/>
  <c r="D15" i="49"/>
  <c r="D18" i="48"/>
  <c r="D17" i="47" l="1"/>
  <c r="D17" i="50"/>
  <c r="D20" i="47"/>
  <c r="D17" i="49"/>
  <c r="D20" i="49"/>
  <c r="D19" i="50"/>
  <c r="D20" i="50"/>
  <c r="D18" i="47"/>
  <c r="D20" i="48"/>
  <c r="D15" i="47"/>
  <c r="D19" i="47"/>
  <c r="D21" i="47"/>
  <c r="D19" i="49"/>
  <c r="D19" i="48"/>
  <c r="D17" i="48" l="1"/>
  <c r="D30" i="6" l="1"/>
  <c r="E15" i="53" l="1"/>
  <c r="F15" i="53" s="1"/>
  <c r="E15" i="51"/>
  <c r="F15" i="51" s="1"/>
  <c r="E15" i="49"/>
  <c r="F15" i="49" s="1"/>
  <c r="E15" i="52"/>
  <c r="F15" i="52" s="1"/>
  <c r="E15" i="47"/>
  <c r="F15" i="47" s="1"/>
  <c r="E15" i="50"/>
  <c r="F15" i="50" s="1"/>
  <c r="E15" i="48"/>
  <c r="F15" i="48" s="1"/>
  <c r="E22" i="47" l="1"/>
  <c r="F22" i="47" s="1"/>
  <c r="E22" i="52"/>
  <c r="F22" i="52" s="1"/>
  <c r="E22" i="50"/>
  <c r="F22" i="50" s="1"/>
  <c r="E22" i="48"/>
  <c r="F22" i="48" s="1"/>
  <c r="E22" i="53"/>
  <c r="F22" i="53" s="1"/>
  <c r="E22" i="51"/>
  <c r="F22" i="51" s="1"/>
  <c r="E22" i="49"/>
  <c r="F22" i="49" s="1"/>
  <c r="D22" i="6"/>
  <c r="I4" i="6" l="1"/>
  <c r="E14" i="50" l="1"/>
  <c r="F14" i="50" s="1"/>
  <c r="E14" i="48"/>
  <c r="F14" i="48" s="1"/>
  <c r="E14" i="53"/>
  <c r="E14" i="51"/>
  <c r="F14" i="51" s="1"/>
  <c r="E14" i="49"/>
  <c r="F14" i="49" s="1"/>
  <c r="D14" i="6"/>
  <c r="E14" i="47"/>
  <c r="F14" i="47" s="1"/>
  <c r="E21" i="49"/>
  <c r="F21" i="49" s="1"/>
  <c r="E21" i="47"/>
  <c r="F21" i="47" s="1"/>
  <c r="E21" i="53"/>
  <c r="F21" i="53" s="1"/>
  <c r="D21" i="6"/>
  <c r="E21" i="52"/>
  <c r="F21" i="52" s="1"/>
  <c r="E21" i="50"/>
  <c r="F21" i="50" s="1"/>
  <c r="E21" i="48"/>
  <c r="F21" i="48" s="1"/>
  <c r="E21" i="51"/>
  <c r="F21" i="51" s="1"/>
  <c r="E29" i="6"/>
  <c r="F29" i="6" s="1"/>
  <c r="E28" i="6"/>
  <c r="E22" i="6"/>
  <c r="F22" i="6" s="1"/>
  <c r="E13" i="6"/>
  <c r="E21" i="6" l="1"/>
  <c r="F21" i="6" s="1"/>
  <c r="E18" i="47"/>
  <c r="F18" i="47" s="1"/>
  <c r="E18" i="52"/>
  <c r="F18" i="52" s="1"/>
  <c r="E18" i="50"/>
  <c r="F18" i="50" s="1"/>
  <c r="E18" i="48"/>
  <c r="F18" i="48" s="1"/>
  <c r="E18" i="53"/>
  <c r="F18" i="53" s="1"/>
  <c r="E18" i="51"/>
  <c r="F18" i="51" s="1"/>
  <c r="E18" i="49"/>
  <c r="F18" i="49" s="1"/>
  <c r="D18" i="6"/>
  <c r="F14" i="53"/>
  <c r="E14" i="52"/>
  <c r="F14" i="52" s="1"/>
  <c r="F13" i="6"/>
  <c r="E18" i="6" l="1"/>
  <c r="F18" i="6" s="1"/>
  <c r="E19" i="52"/>
  <c r="F19" i="52" s="1"/>
  <c r="E19" i="50"/>
  <c r="F19" i="50" s="1"/>
  <c r="E19" i="48"/>
  <c r="F19" i="48" s="1"/>
  <c r="E19" i="47"/>
  <c r="F19" i="47" s="1"/>
  <c r="E19" i="53"/>
  <c r="F19" i="53" s="1"/>
  <c r="E19" i="51"/>
  <c r="F19" i="51" s="1"/>
  <c r="E19" i="49"/>
  <c r="F19" i="49" s="1"/>
  <c r="D19" i="6"/>
  <c r="E19" i="6" s="1"/>
  <c r="F19" i="6" s="1"/>
  <c r="E20" i="53"/>
  <c r="F20" i="53" s="1"/>
  <c r="E20" i="51"/>
  <c r="F20" i="51" s="1"/>
  <c r="E20" i="49"/>
  <c r="F20" i="49" s="1"/>
  <c r="D20" i="6"/>
  <c r="E20" i="52"/>
  <c r="F20" i="52" s="1"/>
  <c r="E20" i="48"/>
  <c r="F20" i="48" s="1"/>
  <c r="E20" i="50"/>
  <c r="F20" i="50" s="1"/>
  <c r="E20" i="47"/>
  <c r="F20" i="47" s="1"/>
  <c r="E14" i="6"/>
  <c r="E20" i="6" l="1"/>
  <c r="F20" i="6" s="1"/>
  <c r="E17" i="48"/>
  <c r="E16" i="48" s="1"/>
  <c r="E12" i="48" s="1"/>
  <c r="E23" i="48" s="1"/>
  <c r="E31" i="48" s="1"/>
  <c r="D16" i="48"/>
  <c r="E17" i="47"/>
  <c r="E16" i="47" s="1"/>
  <c r="E12" i="47" s="1"/>
  <c r="D16" i="47"/>
  <c r="E17" i="50"/>
  <c r="E16" i="50" s="1"/>
  <c r="E12" i="50" s="1"/>
  <c r="E23" i="50" s="1"/>
  <c r="E31" i="50" s="1"/>
  <c r="D16" i="50"/>
  <c r="D16" i="52"/>
  <c r="D12" i="52" s="1"/>
  <c r="E17" i="52"/>
  <c r="E16" i="52" s="1"/>
  <c r="E12" i="52" s="1"/>
  <c r="E23" i="52" s="1"/>
  <c r="E31" i="52" s="1"/>
  <c r="E17" i="53"/>
  <c r="E16" i="53" s="1"/>
  <c r="E12" i="53" s="1"/>
  <c r="E23" i="53" s="1"/>
  <c r="E31" i="53" s="1"/>
  <c r="D16" i="53"/>
  <c r="D12" i="53" s="1"/>
  <c r="E17" i="49"/>
  <c r="E16" i="49" s="1"/>
  <c r="E12" i="49" s="1"/>
  <c r="E23" i="49" s="1"/>
  <c r="E31" i="49" s="1"/>
  <c r="D16" i="49"/>
  <c r="D16" i="51"/>
  <c r="E17" i="51"/>
  <c r="E16" i="51" s="1"/>
  <c r="E12" i="51" s="1"/>
  <c r="E23" i="51" s="1"/>
  <c r="E31" i="51" s="1"/>
  <c r="E15" i="6"/>
  <c r="F15" i="6" s="1"/>
  <c r="F14" i="6"/>
  <c r="E23" i="47" l="1"/>
  <c r="E31" i="47" s="1"/>
  <c r="D12" i="49"/>
  <c r="D12" i="48"/>
  <c r="D23" i="53"/>
  <c r="D31" i="53" s="1"/>
  <c r="D23" i="52"/>
  <c r="D31" i="52" s="1"/>
  <c r="D12" i="51"/>
  <c r="D23" i="51" s="1"/>
  <c r="J60" i="65" s="1"/>
  <c r="D12" i="50"/>
  <c r="D12" i="47"/>
  <c r="F17" i="47"/>
  <c r="F16" i="47" s="1"/>
  <c r="F12" i="47" s="1"/>
  <c r="F23" i="47" s="1"/>
  <c r="F31" i="47" s="1"/>
  <c r="F17" i="49"/>
  <c r="F16" i="49" s="1"/>
  <c r="F12" i="49" s="1"/>
  <c r="F23" i="49" s="1"/>
  <c r="F31" i="49" s="1"/>
  <c r="F17" i="53"/>
  <c r="F16" i="53" s="1"/>
  <c r="F12" i="53" s="1"/>
  <c r="F23" i="53" s="1"/>
  <c r="F31" i="53" s="1"/>
  <c r="F17" i="51"/>
  <c r="F16" i="51" s="1"/>
  <c r="F12" i="51" s="1"/>
  <c r="F23" i="51" s="1"/>
  <c r="F31" i="51" s="1"/>
  <c r="F17" i="48"/>
  <c r="F16" i="48" s="1"/>
  <c r="F12" i="48" s="1"/>
  <c r="F23" i="48" s="1"/>
  <c r="F31" i="48" s="1"/>
  <c r="F17" i="52"/>
  <c r="F16" i="52" s="1"/>
  <c r="F12" i="52" s="1"/>
  <c r="F23" i="52" s="1"/>
  <c r="F31" i="52" s="1"/>
  <c r="F17" i="50"/>
  <c r="F16" i="50" s="1"/>
  <c r="F12" i="50" s="1"/>
  <c r="F23" i="50" s="1"/>
  <c r="F31" i="50" s="1"/>
  <c r="D23" i="47" l="1"/>
  <c r="D31" i="47" s="1"/>
  <c r="G62" i="5"/>
  <c r="D23" i="48"/>
  <c r="G63" i="5"/>
  <c r="D23" i="50"/>
  <c r="D31" i="50" s="1"/>
  <c r="J31" i="50" s="1"/>
  <c r="G65" i="5"/>
  <c r="D23" i="49"/>
  <c r="D31" i="49" s="1"/>
  <c r="K34" i="49" s="1"/>
  <c r="G64" i="5"/>
  <c r="J61" i="65"/>
  <c r="K61" i="65" s="1"/>
  <c r="L61" i="65" s="1"/>
  <c r="R61" i="65" s="1"/>
  <c r="J62" i="65"/>
  <c r="K62" i="65" s="1"/>
  <c r="Q62" i="65" s="1"/>
  <c r="D31" i="51"/>
  <c r="K60" i="65"/>
  <c r="P60" i="65"/>
  <c r="J59" i="65"/>
  <c r="H29" i="5"/>
  <c r="J24" i="65" l="1"/>
  <c r="K24" i="65" s="1"/>
  <c r="L24" i="65" s="1"/>
  <c r="R24" i="65" s="1"/>
  <c r="J25" i="65"/>
  <c r="P25" i="65" s="1"/>
  <c r="P62" i="65"/>
  <c r="D31" i="48"/>
  <c r="J33" i="48" s="1"/>
  <c r="J27" i="65"/>
  <c r="P27" i="65" s="1"/>
  <c r="J26" i="65"/>
  <c r="Q61" i="65"/>
  <c r="P61" i="65"/>
  <c r="L62" i="65"/>
  <c r="R62" i="65" s="1"/>
  <c r="K59" i="65"/>
  <c r="L59" i="65" s="1"/>
  <c r="J58" i="65"/>
  <c r="P59" i="65"/>
  <c r="L60" i="65"/>
  <c r="R60" i="65" s="1"/>
  <c r="Q60" i="65"/>
  <c r="K25" i="65" l="1"/>
  <c r="Q25" i="65" s="1"/>
  <c r="P24" i="65"/>
  <c r="Q24" i="65"/>
  <c r="K27" i="65"/>
  <c r="Q27" i="65" s="1"/>
  <c r="J29" i="65"/>
  <c r="P58" i="65"/>
  <c r="P26" i="65"/>
  <c r="K26" i="65"/>
  <c r="R59" i="65"/>
  <c r="R58" i="65" s="1"/>
  <c r="L58" i="65"/>
  <c r="Q59" i="65"/>
  <c r="Q58" i="65" s="1"/>
  <c r="K58" i="65"/>
  <c r="I116" i="5"/>
  <c r="I13" i="5"/>
  <c r="L25" i="65" l="1"/>
  <c r="R25" i="65" s="1"/>
  <c r="P29" i="65"/>
  <c r="L27" i="65"/>
  <c r="R27" i="65" s="1"/>
  <c r="K29" i="65"/>
  <c r="Q26" i="65"/>
  <c r="Q29" i="65" s="1"/>
  <c r="L26" i="65"/>
  <c r="R26" i="65" l="1"/>
  <c r="R29" i="65" s="1"/>
  <c r="T29" i="65" s="1"/>
  <c r="L29" i="65"/>
  <c r="E27" i="6" l="1"/>
  <c r="F27" i="6" s="1"/>
  <c r="E26" i="6" l="1"/>
  <c r="E30" i="6" s="1"/>
  <c r="D25" i="6"/>
  <c r="F28" i="6"/>
  <c r="E24" i="6"/>
  <c r="E25" i="6" s="1"/>
  <c r="F24" i="6" l="1"/>
  <c r="F26" i="6"/>
  <c r="F30" i="6" s="1"/>
  <c r="F25" i="6" l="1"/>
  <c r="G46" i="54" l="1"/>
  <c r="G54" i="54"/>
  <c r="I29" i="5"/>
  <c r="I123" i="5" l="1"/>
  <c r="G18" i="5" l="1"/>
  <c r="I18" i="5" l="1"/>
  <c r="H18" i="5" l="1"/>
  <c r="G36" i="33" l="1"/>
  <c r="AK36" i="33" s="1"/>
  <c r="I121" i="5" l="1"/>
  <c r="J76" i="65" l="1"/>
  <c r="G77" i="5"/>
  <c r="H77" i="5" l="1"/>
  <c r="J67" i="65"/>
  <c r="P76" i="65"/>
  <c r="P75" i="65" s="1"/>
  <c r="K76" i="65"/>
  <c r="L76" i="65" s="1"/>
  <c r="J75" i="65"/>
  <c r="G70" i="5" l="1"/>
  <c r="J109" i="65"/>
  <c r="K67" i="65"/>
  <c r="P67" i="65"/>
  <c r="P66" i="65" s="1"/>
  <c r="J66" i="65"/>
  <c r="K75" i="65"/>
  <c r="Q76" i="65"/>
  <c r="Q75" i="65" s="1"/>
  <c r="H117" i="5"/>
  <c r="I117" i="5" s="1"/>
  <c r="G118" i="5"/>
  <c r="L75" i="65"/>
  <c r="R76" i="65"/>
  <c r="R75" i="65" s="1"/>
  <c r="I77" i="5"/>
  <c r="I118" i="5" l="1"/>
  <c r="K66" i="65"/>
  <c r="Q67" i="65"/>
  <c r="Q66" i="65" s="1"/>
  <c r="H70" i="5"/>
  <c r="K109" i="65"/>
  <c r="L109" i="65" s="1"/>
  <c r="P109" i="65"/>
  <c r="P110" i="65" s="1"/>
  <c r="J110" i="65"/>
  <c r="H118" i="5"/>
  <c r="P89" i="65"/>
  <c r="J89" i="65"/>
  <c r="L67" i="65"/>
  <c r="K89" i="65" l="1"/>
  <c r="L66" i="65"/>
  <c r="R67" i="65"/>
  <c r="R66" i="65" s="1"/>
  <c r="R109" i="65"/>
  <c r="R110" i="65" s="1"/>
  <c r="T110" i="65" s="1"/>
  <c r="L110" i="65"/>
  <c r="Q109" i="65"/>
  <c r="Q110" i="65" s="1"/>
  <c r="K110" i="65"/>
  <c r="Q89" i="65"/>
  <c r="I70" i="5"/>
  <c r="R89" i="65" l="1"/>
  <c r="T89" i="65" s="1"/>
  <c r="L89" i="65"/>
  <c r="D17" i="6" l="1"/>
  <c r="E17" i="6" l="1"/>
  <c r="E16" i="6" s="1"/>
  <c r="E12" i="6" s="1"/>
  <c r="E23" i="6" s="1"/>
  <c r="E31" i="6" s="1"/>
  <c r="D16" i="6"/>
  <c r="F17" i="6" l="1"/>
  <c r="F16" i="6" s="1"/>
  <c r="F12" i="6" s="1"/>
  <c r="F23" i="6" s="1"/>
  <c r="F31" i="6" s="1"/>
  <c r="D12" i="6"/>
  <c r="D23" i="6" l="1"/>
  <c r="D31" i="6" s="1"/>
  <c r="J31" i="6" s="1"/>
  <c r="J17" i="65" l="1"/>
  <c r="J16" i="65" s="1"/>
  <c r="K17" i="65" l="1"/>
  <c r="L17" i="65" s="1"/>
  <c r="R17" i="65" s="1"/>
  <c r="P17" i="65"/>
  <c r="J93" i="65"/>
  <c r="P16" i="65"/>
  <c r="P21" i="65" s="1"/>
  <c r="J94" i="65"/>
  <c r="J21" i="65"/>
  <c r="S39" i="33" l="1"/>
  <c r="Q17" i="65"/>
  <c r="K16" i="65"/>
  <c r="K21" i="65" s="1"/>
  <c r="L16" i="65"/>
  <c r="L21" i="65" s="1"/>
  <c r="J97" i="65"/>
  <c r="K93" i="65"/>
  <c r="P93" i="65"/>
  <c r="J92" i="65"/>
  <c r="J112" i="65"/>
  <c r="J116" i="65" s="1"/>
  <c r="P116" i="65" s="1"/>
  <c r="J98" i="65"/>
  <c r="K94" i="65"/>
  <c r="P94" i="65"/>
  <c r="Q16" i="65" l="1"/>
  <c r="Q21" i="65" s="1"/>
  <c r="R16" i="65"/>
  <c r="R21" i="65" s="1"/>
  <c r="T21" i="65" s="1"/>
  <c r="L98" i="65"/>
  <c r="R98" i="65" s="1"/>
  <c r="P98" i="65"/>
  <c r="Q94" i="65"/>
  <c r="L94" i="65"/>
  <c r="R94" i="65" s="1"/>
  <c r="P97" i="65"/>
  <c r="L97" i="65"/>
  <c r="R97" i="65" s="1"/>
  <c r="K112" i="65"/>
  <c r="K116" i="65" s="1"/>
  <c r="Q116" i="65" s="1"/>
  <c r="Q93" i="65"/>
  <c r="L93" i="65"/>
  <c r="K92" i="65"/>
  <c r="P112" i="65"/>
  <c r="P92" i="65"/>
  <c r="J45" i="65" l="1"/>
  <c r="H22" i="54"/>
  <c r="G39" i="33"/>
  <c r="AK39" i="33" s="1"/>
  <c r="H31" i="54"/>
  <c r="G54" i="5"/>
  <c r="J54" i="65"/>
  <c r="J49" i="65"/>
  <c r="H26" i="54"/>
  <c r="L112" i="65"/>
  <c r="L116" i="65" s="1"/>
  <c r="R116" i="65" s="1"/>
  <c r="L92" i="65"/>
  <c r="R93" i="65"/>
  <c r="Q92" i="65"/>
  <c r="Q112" i="65"/>
  <c r="I31" i="54" l="1"/>
  <c r="H29" i="54"/>
  <c r="G52" i="5"/>
  <c r="J52" i="65"/>
  <c r="H13" i="54"/>
  <c r="I13" i="54" s="1"/>
  <c r="J36" i="65"/>
  <c r="H45" i="5"/>
  <c r="H49" i="5"/>
  <c r="J53" i="65"/>
  <c r="H30" i="54"/>
  <c r="G53" i="5"/>
  <c r="J48" i="65"/>
  <c r="H25" i="54"/>
  <c r="H24" i="54" s="1"/>
  <c r="G48" i="5"/>
  <c r="G47" i="5" s="1"/>
  <c r="K49" i="65"/>
  <c r="Q49" i="65" s="1"/>
  <c r="P49" i="65"/>
  <c r="P45" i="65"/>
  <c r="K45" i="65"/>
  <c r="H44" i="5"/>
  <c r="P54" i="65"/>
  <c r="K54" i="65"/>
  <c r="Q54" i="65" s="1"/>
  <c r="J43" i="65"/>
  <c r="H20" i="54"/>
  <c r="I20" i="54" s="1"/>
  <c r="H54" i="5"/>
  <c r="I26" i="54"/>
  <c r="H15" i="54"/>
  <c r="J38" i="65"/>
  <c r="I22" i="54"/>
  <c r="R92" i="65"/>
  <c r="R112" i="65"/>
  <c r="I45" i="5" l="1"/>
  <c r="L54" i="65"/>
  <c r="R54" i="65" s="1"/>
  <c r="L49" i="65"/>
  <c r="R49" i="65" s="1"/>
  <c r="I30" i="54"/>
  <c r="P38" i="65"/>
  <c r="K38" i="65"/>
  <c r="Q38" i="65" s="1"/>
  <c r="I44" i="5"/>
  <c r="J51" i="65"/>
  <c r="K52" i="65"/>
  <c r="P52" i="65"/>
  <c r="H53" i="5"/>
  <c r="H52" i="5"/>
  <c r="I52" i="5" s="1"/>
  <c r="G51" i="5"/>
  <c r="L45" i="65"/>
  <c r="R45" i="65" s="1"/>
  <c r="Q45" i="65"/>
  <c r="H48" i="5"/>
  <c r="H47" i="5" s="1"/>
  <c r="I15" i="54"/>
  <c r="I25" i="54"/>
  <c r="I24" i="54" s="1"/>
  <c r="K53" i="65"/>
  <c r="Q53" i="65" s="1"/>
  <c r="P53" i="65"/>
  <c r="H36" i="5"/>
  <c r="I36" i="5" s="1"/>
  <c r="H43" i="5"/>
  <c r="P48" i="65"/>
  <c r="K48" i="65"/>
  <c r="J47" i="65"/>
  <c r="P47" i="65" s="1"/>
  <c r="I49" i="5"/>
  <c r="H38" i="5"/>
  <c r="I54" i="5"/>
  <c r="P43" i="65"/>
  <c r="K43" i="65"/>
  <c r="L43" i="65" s="1"/>
  <c r="P36" i="65"/>
  <c r="K36" i="65"/>
  <c r="L36" i="65" s="1"/>
  <c r="I29" i="54"/>
  <c r="I53" i="5" l="1"/>
  <c r="I38" i="5"/>
  <c r="L38" i="65"/>
  <c r="R38" i="65" s="1"/>
  <c r="R36" i="65"/>
  <c r="H39" i="5"/>
  <c r="Q43" i="65"/>
  <c r="L48" i="65"/>
  <c r="Q48" i="65"/>
  <c r="K47" i="65"/>
  <c r="Q47" i="65" s="1"/>
  <c r="I48" i="5"/>
  <c r="I47" i="5" s="1"/>
  <c r="L52" i="65"/>
  <c r="K51" i="65"/>
  <c r="Q52" i="65"/>
  <c r="R43" i="65"/>
  <c r="G50" i="5"/>
  <c r="P51" i="65"/>
  <c r="J50" i="65"/>
  <c r="P50" i="65" s="1"/>
  <c r="Q36" i="65"/>
  <c r="I43" i="5"/>
  <c r="H51" i="5"/>
  <c r="L53" i="65"/>
  <c r="R53" i="65" s="1"/>
  <c r="I51" i="5" l="1"/>
  <c r="H50" i="5"/>
  <c r="Q51" i="65"/>
  <c r="K50" i="65"/>
  <c r="R52" i="65"/>
  <c r="L51" i="65"/>
  <c r="R48" i="65"/>
  <c r="L47" i="65"/>
  <c r="R47" i="65" s="1"/>
  <c r="I39" i="5"/>
  <c r="I50" i="5" l="1"/>
  <c r="J95" i="65"/>
  <c r="Q50" i="65"/>
  <c r="L50" i="65"/>
  <c r="R51" i="65"/>
  <c r="P95" i="65" l="1"/>
  <c r="L95" i="65"/>
  <c r="R95" i="65" s="1"/>
  <c r="R50" i="65"/>
  <c r="G38" i="33" l="1"/>
  <c r="S38" i="33"/>
  <c r="R123" i="5"/>
  <c r="AK38" i="33" l="1"/>
  <c r="H21" i="54"/>
  <c r="H16" i="54" s="1"/>
  <c r="G16" i="54"/>
  <c r="J44" i="65"/>
  <c r="P44" i="65" s="1"/>
  <c r="I21" i="54" l="1"/>
  <c r="I16" i="54" s="1"/>
  <c r="J39" i="65"/>
  <c r="K44" i="65"/>
  <c r="J99" i="65" l="1"/>
  <c r="J102" i="65"/>
  <c r="P39" i="65"/>
  <c r="Q44" i="65"/>
  <c r="K39" i="65"/>
  <c r="L44" i="65"/>
  <c r="K102" i="65" l="1"/>
  <c r="Q39" i="65"/>
  <c r="P102" i="65"/>
  <c r="J101" i="65"/>
  <c r="L39" i="65"/>
  <c r="R44" i="65"/>
  <c r="P99" i="65"/>
  <c r="L99" i="65"/>
  <c r="R99" i="65" s="1"/>
  <c r="P101" i="65" l="1"/>
  <c r="P105" i="65" s="1"/>
  <c r="J105" i="65"/>
  <c r="R39" i="65"/>
  <c r="L102" i="65"/>
  <c r="Q102" i="65"/>
  <c r="K101" i="65"/>
  <c r="R102" i="65" l="1"/>
  <c r="L101" i="65"/>
  <c r="Q101" i="65"/>
  <c r="Q105" i="65" s="1"/>
  <c r="K105" i="65"/>
  <c r="L105" i="65" l="1"/>
  <c r="R101" i="65"/>
  <c r="R105" i="65" s="1"/>
  <c r="T105" i="65" l="1"/>
  <c r="H28" i="54"/>
  <c r="I28" i="54" s="1"/>
  <c r="G27" i="54"/>
  <c r="H27" i="54" s="1"/>
  <c r="I27" i="54" l="1"/>
  <c r="E27" i="90" l="1"/>
  <c r="G13" i="90"/>
  <c r="G48" i="54" l="1"/>
  <c r="H96" i="5"/>
  <c r="G100" i="5" l="1"/>
  <c r="G106" i="5" s="1"/>
  <c r="G56" i="54"/>
  <c r="G59" i="54" s="1"/>
  <c r="G96" i="5"/>
  <c r="G109" i="5" s="1"/>
  <c r="G101" i="5"/>
  <c r="H101" i="5" s="1"/>
  <c r="I101" i="5" s="1"/>
  <c r="G120" i="5"/>
  <c r="G125" i="5" s="1"/>
  <c r="G99" i="5"/>
  <c r="H100" i="5"/>
  <c r="G19" i="90"/>
  <c r="F27" i="90"/>
  <c r="G27" i="90" s="1"/>
  <c r="I106" i="5"/>
  <c r="G102" i="5"/>
  <c r="I102" i="5" s="1"/>
  <c r="I96" i="5"/>
  <c r="I109" i="5" s="1"/>
  <c r="I108" i="5" s="1"/>
  <c r="G47" i="54" l="1"/>
  <c r="G49" i="54" s="1"/>
  <c r="G50" i="54" s="1"/>
  <c r="G51" i="54" s="1"/>
  <c r="G55" i="54"/>
  <c r="G58" i="54" s="1"/>
  <c r="H99" i="5"/>
  <c r="H120" i="5"/>
  <c r="H125" i="5" s="1"/>
  <c r="G52" i="54"/>
  <c r="I100" i="5"/>
  <c r="I55" i="54"/>
  <c r="G108" i="5"/>
  <c r="G113" i="5" s="1"/>
  <c r="H109" i="5"/>
  <c r="H108" i="5" s="1"/>
  <c r="G32" i="54" l="1"/>
  <c r="D37" i="54" s="1"/>
  <c r="G46" i="5"/>
  <c r="H23" i="54"/>
  <c r="H32" i="54" s="1"/>
  <c r="J46" i="65"/>
  <c r="I99" i="5"/>
  <c r="I113" i="5" s="1"/>
  <c r="I120" i="5"/>
  <c r="H113" i="5"/>
  <c r="I23" i="54" l="1"/>
  <c r="I32" i="54" s="1"/>
  <c r="G55" i="5"/>
  <c r="G119" i="5" s="1"/>
  <c r="G124" i="5" s="1"/>
  <c r="H46" i="5"/>
  <c r="H55" i="5" s="1"/>
  <c r="H119" i="5" s="1"/>
  <c r="H124" i="5" s="1"/>
  <c r="I125" i="5"/>
  <c r="AK35" i="33"/>
  <c r="J55" i="65"/>
  <c r="J111" i="65" s="1"/>
  <c r="J115" i="65" s="1"/>
  <c r="P115" i="65" s="1"/>
  <c r="P46" i="65"/>
  <c r="P55" i="65" s="1"/>
  <c r="P111" i="65" s="1"/>
  <c r="K46" i="65"/>
  <c r="I46" i="5" l="1"/>
  <c r="I55" i="5" s="1"/>
  <c r="I119" i="5" s="1"/>
  <c r="I127" i="5" s="1"/>
  <c r="K55" i="65"/>
  <c r="K111" i="65" s="1"/>
  <c r="K115" i="65" s="1"/>
  <c r="Q115" i="65" s="1"/>
  <c r="Q46" i="65"/>
  <c r="Q55" i="65" s="1"/>
  <c r="Q111" i="65" s="1"/>
  <c r="L46" i="65"/>
  <c r="I124" i="5" l="1"/>
  <c r="AK34" i="33"/>
  <c r="R46" i="65"/>
  <c r="R55" i="65" s="1"/>
  <c r="L55" i="65"/>
  <c r="L111" i="65" s="1"/>
  <c r="L115" i="65" s="1"/>
  <c r="R115" i="65" s="1"/>
  <c r="R111" i="65" l="1"/>
  <c r="T55" i="65"/>
</calcChain>
</file>

<file path=xl/sharedStrings.xml><?xml version="1.0" encoding="utf-8"?>
<sst xmlns="http://schemas.openxmlformats.org/spreadsheetml/2006/main" count="5614" uniqueCount="1897">
  <si>
    <t>Cantitate</t>
  </si>
  <si>
    <t>buc</t>
  </si>
  <si>
    <t>ml</t>
  </si>
  <si>
    <t>mp</t>
  </si>
  <si>
    <t>mc</t>
  </si>
  <si>
    <t>Folie polietilena (bariera contra vaporilor)</t>
  </si>
  <si>
    <t>Strat difuzie</t>
  </si>
  <si>
    <t>u.m.</t>
  </si>
  <si>
    <t>to</t>
  </si>
  <si>
    <t>kg</t>
  </si>
  <si>
    <t xml:space="preserve">privind cheltuielile necesare realizării  obiectivului  de  investiţie  imobiliară </t>
  </si>
  <si>
    <t>Nr. crt.</t>
  </si>
  <si>
    <t>Denumirea capitolelor şi 
subcapitolelor de cheltuieli</t>
  </si>
  <si>
    <t>C</t>
  </si>
  <si>
    <t xml:space="preserve">I </t>
  </si>
  <si>
    <t>VALOARE TOTALĂ</t>
  </si>
  <si>
    <t xml:space="preserve"> Valoare fară TVA</t>
  </si>
  <si>
    <t>TVA</t>
  </si>
  <si>
    <t>Valoare cu TVA</t>
  </si>
  <si>
    <t>Cheltuieli pentru obţinerea şi amenajarea terenului</t>
  </si>
  <si>
    <t>1.1</t>
  </si>
  <si>
    <t>Obţinere teren</t>
  </si>
  <si>
    <t>1.2</t>
  </si>
  <si>
    <t>1.3</t>
  </si>
  <si>
    <t>Amenajări pt. protecţia mediului</t>
  </si>
  <si>
    <t>TOTAL CAPITOL  I</t>
  </si>
  <si>
    <t>Cheltuieli pentru asigurarea utilităţilor necesare obiectivului</t>
  </si>
  <si>
    <t>2.1.</t>
  </si>
  <si>
    <t>2.2.</t>
  </si>
  <si>
    <t>TOTAL CAPITOL  2</t>
  </si>
  <si>
    <t>Cheltuieli pentru proiectare şi asistenţă tehnică</t>
  </si>
  <si>
    <t>3.1</t>
  </si>
  <si>
    <t>3.2</t>
  </si>
  <si>
    <t>TOTAL  CAPITOL  3</t>
  </si>
  <si>
    <t>Cheltuieli pentru investiţia de bază</t>
  </si>
  <si>
    <t>4.1</t>
  </si>
  <si>
    <t>Construcţii şi instalaţii</t>
  </si>
  <si>
    <t>4.1.1</t>
  </si>
  <si>
    <t>4.1.2</t>
  </si>
  <si>
    <t>4.2</t>
  </si>
  <si>
    <t>Montaj utilaj tehnologic</t>
  </si>
  <si>
    <t>4.2.1</t>
  </si>
  <si>
    <t>4.3.</t>
  </si>
  <si>
    <t>4.3.1</t>
  </si>
  <si>
    <t>4.4.</t>
  </si>
  <si>
    <t>4.5.</t>
  </si>
  <si>
    <t>Dotări</t>
  </si>
  <si>
    <t>4.6.</t>
  </si>
  <si>
    <t>Active necorporale</t>
  </si>
  <si>
    <t>TOTAL  CAPITOL  4</t>
  </si>
  <si>
    <t>CAPITOLUL  5</t>
  </si>
  <si>
    <t xml:space="preserve">Alte cheltuieli </t>
  </si>
  <si>
    <t>5.1</t>
  </si>
  <si>
    <t>5.1.1</t>
  </si>
  <si>
    <t>5.1.2</t>
  </si>
  <si>
    <t>5.2</t>
  </si>
  <si>
    <t>5.3.</t>
  </si>
  <si>
    <t>Cheltuieli diverse şi neprevăzute</t>
  </si>
  <si>
    <t>5.3.1</t>
  </si>
  <si>
    <t>Cheltuieli diverse şi neprevăzute - C =  20%(1.2+1.3+2+3+4)</t>
  </si>
  <si>
    <t>5.3.2</t>
  </si>
  <si>
    <t>TOTAL  CAPITOL  5</t>
  </si>
  <si>
    <t>6.1</t>
  </si>
  <si>
    <t xml:space="preserve">Pregătire personal exploatare       </t>
  </si>
  <si>
    <t>6.2</t>
  </si>
  <si>
    <t xml:space="preserve">Probe tehnologice şi teste            </t>
  </si>
  <si>
    <t>TOTAL  CAPITOL  6</t>
  </si>
  <si>
    <t>TOTAL  GENERAL</t>
  </si>
  <si>
    <t>Valoare fără  TVA</t>
  </si>
  <si>
    <t>Instalaţii sanitare</t>
  </si>
  <si>
    <t>Arhitectura</t>
  </si>
  <si>
    <t>2.3.</t>
  </si>
  <si>
    <t>2.4.</t>
  </si>
  <si>
    <t>4.5.1.</t>
  </si>
  <si>
    <t>4.5.2.</t>
  </si>
  <si>
    <t>m</t>
  </si>
  <si>
    <t>RK</t>
  </si>
  <si>
    <t>Lucrări de construcţii                                                             70% (cap.5.1.)</t>
  </si>
  <si>
    <t>Cheltuieli diverse şi neprevăzute - RK= 10%(1.2+1.3+2+3+4))</t>
  </si>
  <si>
    <t>TOTAL GENERAL RĂMAS DE FINANŢAT</t>
  </si>
  <si>
    <t xml:space="preserve"> Din  care    C + M</t>
  </si>
  <si>
    <t>Nisip</t>
  </si>
  <si>
    <t>Intocmit,</t>
  </si>
  <si>
    <t>Administrator</t>
  </si>
  <si>
    <t>Interv.</t>
  </si>
  <si>
    <t>Dom.</t>
  </si>
  <si>
    <t>Lucr.</t>
  </si>
  <si>
    <t>Activitate</t>
  </si>
  <si>
    <t>Art.</t>
  </si>
  <si>
    <t>LUCRARI DE CONSTRUCTII</t>
  </si>
  <si>
    <t>TERASAMENT</t>
  </si>
  <si>
    <t>CONSTRUCTII</t>
  </si>
  <si>
    <t>RPCXJ07A</t>
  </si>
  <si>
    <t>Buciardare si curatire suprafata existenta</t>
  </si>
  <si>
    <t>CI08XB, PJ20XA</t>
  </si>
  <si>
    <t>Forare gauri ancorare armatura</t>
  </si>
  <si>
    <t>Ancorare chimica</t>
  </si>
  <si>
    <t>Armare cu plase</t>
  </si>
  <si>
    <t>Armare cu carcase</t>
  </si>
  <si>
    <t>IZOLATII</t>
  </si>
  <si>
    <t>Hidroizolatie pardoseala dupa turnare</t>
  </si>
  <si>
    <t>RpIzC04O%</t>
  </si>
  <si>
    <t>Sapa de protectie hidroizolatie</t>
  </si>
  <si>
    <t>RCSE12B%</t>
  </si>
  <si>
    <t>INSTALATII ELECTRICE CURENTI TARI</t>
  </si>
  <si>
    <t>INSTALATII ELECTRICE CURENTI SLABI</t>
  </si>
  <si>
    <t>INSTALATII SANITARE</t>
  </si>
  <si>
    <t>INSTALATII DE INCALZIRE</t>
  </si>
  <si>
    <t>INSTALATII DE VENTILARE-CLIMATIZARE</t>
  </si>
  <si>
    <t>INSTALATII DE GAZE NATURALE</t>
  </si>
  <si>
    <t>LUCRARI DE MONTAJ</t>
  </si>
  <si>
    <t>PROCURARE</t>
  </si>
  <si>
    <t>Terasa</t>
  </si>
  <si>
    <t>Desfacere hidroizolatie existenta</t>
  </si>
  <si>
    <t>Desfacere beton panta</t>
  </si>
  <si>
    <t>Beton panta nou</t>
  </si>
  <si>
    <t>RpIzC10B%</t>
  </si>
  <si>
    <t>Hidroizolatie bituminoasa armata fibra sticla (bistrat)</t>
  </si>
  <si>
    <t>Sorturi metalice tabla zn vopsita</t>
  </si>
  <si>
    <t>Trotuar</t>
  </si>
  <si>
    <t>RPCS02B#</t>
  </si>
  <si>
    <t>Dop bitum intre trotuar si soclu</t>
  </si>
  <si>
    <t>Suprafete interioare</t>
  </si>
  <si>
    <t>RPCT30B1</t>
  </si>
  <si>
    <t>RPCXG02D</t>
  </si>
  <si>
    <t>CF02A#</t>
  </si>
  <si>
    <t>Glet pereti 2 straturi</t>
  </si>
  <si>
    <t>RPCJ18C#</t>
  </si>
  <si>
    <t>Vopsea lavabila pereti</t>
  </si>
  <si>
    <t>RPCR08B#</t>
  </si>
  <si>
    <t>CF01XC</t>
  </si>
  <si>
    <t>Vopsea lavabila tavane</t>
  </si>
  <si>
    <t>Placare gresie</t>
  </si>
  <si>
    <t>CI04G#</t>
  </si>
  <si>
    <t>Placare faianta</t>
  </si>
  <si>
    <t>CI05XA</t>
  </si>
  <si>
    <t>RCSK08B#</t>
  </si>
  <si>
    <t>Pardoseala parchet melaminat</t>
  </si>
  <si>
    <t>CG36A+</t>
  </si>
  <si>
    <t>CD24B1%</t>
  </si>
  <si>
    <t>Izolatie ghene vata minerala 20 mm prot. folie PVC</t>
  </si>
  <si>
    <t>IZF14B</t>
  </si>
  <si>
    <t>CI11A#</t>
  </si>
  <si>
    <t>Tamplarie</t>
  </si>
  <si>
    <t>Demontare tamplarie existenta ferestre</t>
  </si>
  <si>
    <t>RCSO56A#</t>
  </si>
  <si>
    <t>Demontare tamplarie existenta usi</t>
  </si>
  <si>
    <t>Suprafete exterioare</t>
  </si>
  <si>
    <t>RPCM33H</t>
  </si>
  <si>
    <t>CI04I-08%</t>
  </si>
  <si>
    <t>Schela</t>
  </si>
  <si>
    <t>Racord cladire (trafo-TE D)</t>
  </si>
  <si>
    <t>ACE08A1</t>
  </si>
  <si>
    <t>EC04F#</t>
  </si>
  <si>
    <t>Imprastiere</t>
  </si>
  <si>
    <t>RTR1RC 90A</t>
  </si>
  <si>
    <t>TSD04C1</t>
  </si>
  <si>
    <t>Racord module (TE D - TE G)</t>
  </si>
  <si>
    <t>Tub protectie copex ignifug d32</t>
  </si>
  <si>
    <t>https://www.dedeman.ro/ro/tub-riflat-legrand-d32-651232/p/1011633</t>
  </si>
  <si>
    <t>Traseu TE G - TE C</t>
  </si>
  <si>
    <t>EC05A1, https://www.dedeman.ro/ro/cablu-cyy-f-3x6/p/1005686</t>
  </si>
  <si>
    <t>Tub protectie copex ignifug d20</t>
  </si>
  <si>
    <t>https://www.dedeman.ro/ro/tub-riflat-legrand-d20-651220/p/1011631</t>
  </si>
  <si>
    <t>Paratraznet si priza de pamant</t>
  </si>
  <si>
    <t>Tarusi verticali 3.5m, 2"</t>
  </si>
  <si>
    <t>W1R06A</t>
  </si>
  <si>
    <t>Tarusi orizontali 4.5 m, 40x4mm</t>
  </si>
  <si>
    <t>EG08A1</t>
  </si>
  <si>
    <t>Piesa de separatie</t>
  </si>
  <si>
    <t>EG13A#</t>
  </si>
  <si>
    <t>Tija de captare - tip PDA</t>
  </si>
  <si>
    <t>Platbanda coborare de la PDA</t>
  </si>
  <si>
    <t>EG02XA-02</t>
  </si>
  <si>
    <t>EG01C#</t>
  </si>
  <si>
    <t>Protectie conducta coborare 1.8m</t>
  </si>
  <si>
    <t>EG09B1</t>
  </si>
  <si>
    <t>Incercare priza pamant</t>
  </si>
  <si>
    <t>W1P08A</t>
  </si>
  <si>
    <t>Instalatii de iluminat</t>
  </si>
  <si>
    <t>Corp iluminat fluorescent, aparent tavan - 1x36W</t>
  </si>
  <si>
    <t>EE07XA</t>
  </si>
  <si>
    <t>Corp iluminat fluorescent, aparent tavan - 1x18W</t>
  </si>
  <si>
    <t>Corp iluminat aplica perete 60W</t>
  </si>
  <si>
    <t>EE05A1</t>
  </si>
  <si>
    <t>Corp iluminat plafoniera 1x60W</t>
  </si>
  <si>
    <t>Corp iluminat plafoniera 2x60W</t>
  </si>
  <si>
    <t>Corp ilumiant aplica oglinda baie LED 1x20W</t>
  </si>
  <si>
    <t>Intrerupator monopolar</t>
  </si>
  <si>
    <t>ED01B1</t>
  </si>
  <si>
    <t>Comutator serie</t>
  </si>
  <si>
    <t>ED03B1</t>
  </si>
  <si>
    <t>Buton comanda iluminat</t>
  </si>
  <si>
    <t>Senzor detectie prezenta</t>
  </si>
  <si>
    <t>https://www.dedeman.ro/ro/senzor-prezenta-360-grade-tg-jq-37/p/1029804</t>
  </si>
  <si>
    <t>Tablou electric camera</t>
  </si>
  <si>
    <t>Tablou electric spatii comune</t>
  </si>
  <si>
    <t>Tablou electric general</t>
  </si>
  <si>
    <t>Tub protectie copex ignifug d16</t>
  </si>
  <si>
    <t>https://www.dedeman.ro/ro/tub-riflat-legrand-d16-651216/p/1011580</t>
  </si>
  <si>
    <t>EC05A1</t>
  </si>
  <si>
    <t>Doze de legatura</t>
  </si>
  <si>
    <t>EA16D1</t>
  </si>
  <si>
    <t>Racordarea conductoarelor din cupru la borne</t>
  </si>
  <si>
    <t>ATD19A</t>
  </si>
  <si>
    <t>Instalatii de prize</t>
  </si>
  <si>
    <t>Priza simpla cu contact protectie</t>
  </si>
  <si>
    <t>ED08B1</t>
  </si>
  <si>
    <t>Priza dubla cu contact protectie</t>
  </si>
  <si>
    <t>Priza simpla 20A cu contact protectie</t>
  </si>
  <si>
    <t>Instalatie apa rece si apa calda interioara</t>
  </si>
  <si>
    <t>Cot 90 PPR DN32</t>
  </si>
  <si>
    <t>Reductie PPR DN32-25</t>
  </si>
  <si>
    <t>Teu egal PPR DN32</t>
  </si>
  <si>
    <t>Teu egal PPR DN25</t>
  </si>
  <si>
    <t>Dop PPR DN25</t>
  </si>
  <si>
    <t>Reductie PPR DN25-20</t>
  </si>
  <si>
    <t>Racord PPR DN20</t>
  </si>
  <si>
    <t>Teu egal PPR DN20</t>
  </si>
  <si>
    <t>Cot 90 PPR DN20</t>
  </si>
  <si>
    <t>Robinet coltar perete DN20</t>
  </si>
  <si>
    <t>Instalatie apa rece exterioara</t>
  </si>
  <si>
    <t>Racord PPR DN32</t>
  </si>
  <si>
    <t>Spalare instalatie</t>
  </si>
  <si>
    <t>Proba presiune</t>
  </si>
  <si>
    <t>Instalatie canalizare menajera si pluviala interioara (PP ignifugata)</t>
  </si>
  <si>
    <t>Sifon terasa cu parafrunzar DN110</t>
  </si>
  <si>
    <t>Piesa capat ventilatie canalizare DN110</t>
  </si>
  <si>
    <t>https://www.romstal.ro/piesa-capat-coloana-ventilatie-polipropilena-pt-canalizare-d-110mm-p166.html</t>
  </si>
  <si>
    <t>Ramificatie dubla DN110 110 50</t>
  </si>
  <si>
    <t>Sifon pardoseala DN50 2 intrari 1 iesire</t>
  </si>
  <si>
    <t>Instalatie canalizare menajera si pluviala exterioara</t>
  </si>
  <si>
    <t>Camin canalizare PVC 1 intrare, 1 iesire DN160, cu capac</t>
  </si>
  <si>
    <t>Camin canalizare PVC 2 intrari, 1 iesire DN160, cu capac</t>
  </si>
  <si>
    <t>Camin canalizare PVC 3 intrari, 1 iesire DN160, cu capac</t>
  </si>
  <si>
    <t>Piesa de trecere in camin existent bransament</t>
  </si>
  <si>
    <t>Clapet de sens PVC DN160</t>
  </si>
  <si>
    <t>Ramificatie PVC KG 160x110</t>
  </si>
  <si>
    <t>https://www.dedeman.ro/ro/ramificatie-pvc-160x110x45-cu-inel/p/2003080</t>
  </si>
  <si>
    <t>Reductie PVC KG 160x110</t>
  </si>
  <si>
    <t>https://www.dedeman.ro/ro/reductie-pvc-200x160-cu-inel/p/2000486</t>
  </si>
  <si>
    <t>Proba etanseitate</t>
  </si>
  <si>
    <t>Demontare obiecte sanitare existente</t>
  </si>
  <si>
    <t>RPSC07</t>
  </si>
  <si>
    <t>Baterie chiuveta bucatarie</t>
  </si>
  <si>
    <t>RPSXC03A</t>
  </si>
  <si>
    <t>RPSXC09</t>
  </si>
  <si>
    <t>RPSD03A#</t>
  </si>
  <si>
    <t>Montare obiecte sanitare:</t>
  </si>
  <si>
    <t>https://www.dedeman.ro/ro/chiuveta-inox-zan-711-800x500-87995717/p/3001915</t>
  </si>
  <si>
    <t>SD05XA</t>
  </si>
  <si>
    <t>Cada dus fibra sticla</t>
  </si>
  <si>
    <t>SC01XB, https://www.dedeman.ro/ro/cadita-de-dus-semirotunda-acril-poliuretan-900x900-mm/p/3009796</t>
  </si>
  <si>
    <t>Vas WC portelan si rezervor WC portelan</t>
  </si>
  <si>
    <t>SC16D1</t>
  </si>
  <si>
    <t>Lavoar baie portelan cu dulap suport</t>
  </si>
  <si>
    <t>SC07E1, https://www.dedeman.ro/ro/masca-alba-550-lavoar-clasic-martplast/p/3006067</t>
  </si>
  <si>
    <t>Baterie cada</t>
  </si>
  <si>
    <t>SD03A1</t>
  </si>
  <si>
    <t>Baterie lavoar</t>
  </si>
  <si>
    <t>Demontare calorifere existente</t>
  </si>
  <si>
    <t>Aerisitor automat 1/2"</t>
  </si>
  <si>
    <t>piesa de trecere</t>
  </si>
  <si>
    <t>Cos de gunoi inox 10L</t>
  </si>
  <si>
    <t>https://www.evivo.ro/cos-de-gunoi-inox-cu-pedala-volum-5-litri-awd02030009.html</t>
  </si>
  <si>
    <t>Cuier usa baie</t>
  </si>
  <si>
    <t>https://www.dedeman.ro/ro/cuier-rustic-5b-mg083-pentru-usa-baie/p/3019180</t>
  </si>
  <si>
    <t>Oglinda cu etajera</t>
  </si>
  <si>
    <t>https://www.dedeman.ro/ro/oglinda-pentru-baie-tec60sh1-45x60-cm/p/3016151</t>
  </si>
  <si>
    <t>Portprosop cromat</t>
  </si>
  <si>
    <t>https://www.dedeman.ro/ro/portprosop-dublu-orfeus-6924-0/p/3016421</t>
  </si>
  <si>
    <t>Porthartie</t>
  </si>
  <si>
    <t>https://www.dedeman.ro/ro/porthartie-cu-clapeta-orfeus-6938-0/p/3016423</t>
  </si>
  <si>
    <t>Portsapun</t>
  </si>
  <si>
    <t>https://www.dedeman.ro/ro/portsapun-sticla-orfeus-6936-0/p/3016422</t>
  </si>
  <si>
    <t>Stingator P9</t>
  </si>
  <si>
    <t>pe scara la fiecare nivel</t>
  </si>
  <si>
    <t>http://www.prima-shop.ro/index.php?route=product/product&amp;product_id=94</t>
  </si>
  <si>
    <t>Realizare termoizolatie exterioara cu polistiren 10 cm</t>
  </si>
  <si>
    <t>RPCE42C%</t>
  </si>
  <si>
    <t>Corp iluminat LED 4W</t>
  </si>
  <si>
    <t>Corp iluminat indicare cai evacuare - aut. 3h</t>
  </si>
  <si>
    <t>Instalatii caTV, telefonie, date</t>
  </si>
  <si>
    <t>Rack 2U</t>
  </si>
  <si>
    <t>Switch 24 porturi</t>
  </si>
  <si>
    <t>Rack 16U</t>
  </si>
  <si>
    <t>Switch 16 porturi</t>
  </si>
  <si>
    <t>Spliter caTV</t>
  </si>
  <si>
    <t>Priza TV</t>
  </si>
  <si>
    <t>Priza telefon</t>
  </si>
  <si>
    <t>Priza date</t>
  </si>
  <si>
    <t>Cablu TV RG6U</t>
  </si>
  <si>
    <t>Cablu telefonie</t>
  </si>
  <si>
    <t>Cablu date UTP 6X2X0,5</t>
  </si>
  <si>
    <t>Cablu electric CYY-F 3x1.5 mmp</t>
  </si>
  <si>
    <t>Transport 5 km</t>
  </si>
  <si>
    <t>Instalatii detectie si semnalizare incendiu</t>
  </si>
  <si>
    <t>Detector adresabil optic de fum</t>
  </si>
  <si>
    <t>Buton adresabil de alarmare</t>
  </si>
  <si>
    <t>Sirena adresabila interior</t>
  </si>
  <si>
    <t>Sirena adresabila exterior</t>
  </si>
  <si>
    <t>Flash adresabil</t>
  </si>
  <si>
    <t>Centrala incendiu</t>
  </si>
  <si>
    <t>Cablu JE-H(St) FE180/E30 2x2x0.8</t>
  </si>
  <si>
    <t>UPS 1 kVA</t>
  </si>
  <si>
    <t>Instalatie ventilatie bai</t>
  </si>
  <si>
    <t>Ventilator baie temporizat</t>
  </si>
  <si>
    <t>https://www.dedeman.ro/ro/ventilator-automat-vents-100-ma/p/2005403</t>
  </si>
  <si>
    <t>Aparate aer conditionat mono-split 12000 BTU</t>
  </si>
  <si>
    <t>https://altex.ro/aparat-de-aer-conditionat-cu-inverter-whirlpool-spiw-412l-12-000btu-h-a-alb</t>
  </si>
  <si>
    <t>Priza simpla cu contact protectie ANTIEX</t>
  </si>
  <si>
    <t>http://www.comenzielectrice.ro/detalii-produs/scame/priza-antiex-16a-2p+e-230v-ip66-scame-1608</t>
  </si>
  <si>
    <t>Priza dubla cu contact protectie ANTIEX</t>
  </si>
  <si>
    <t>Priza simpla 20A cu contact protectie ANTIEX</t>
  </si>
  <si>
    <t>http://www.comenzielectrice.ro/detalii-produs/scame/priza-antiex-32a-2p+e-230v-ip66-scame-1611</t>
  </si>
  <si>
    <t>https://www.materialeelectrice.ro/doza-antiex-80x75x55-scame</t>
  </si>
  <si>
    <t>Tub protectie aparent IPEY ignifug si accesorii d16</t>
  </si>
  <si>
    <t>Corp iluminat fluorescent, aparent tavan ANTIEX - 1x36W</t>
  </si>
  <si>
    <t>https://www.materialeelectrice.ro/corp-iluminat-antiex-1x36w-3570</t>
  </si>
  <si>
    <t>Corp iluminat fluorescent, aparent tavan ANTIEX - 1x18W</t>
  </si>
  <si>
    <t>https://www.materialeelectrice.ro/detalii-produs/palazolli/corp-iluminat-antiex-1x18w-3993</t>
  </si>
  <si>
    <t>http://www.loreelectro.ro/antiex-antiexploziv/comutator-bipolar-antiex-16-a-cu-2-presetupe-in-carcasa-metalica-aluminiu-pentru-zona-2-gaze3gsi-zona-22-prafuri2dcod-201166ex/id-5906.html</t>
  </si>
  <si>
    <t>2 centrale, 6 intrari-iesiri baterie</t>
  </si>
  <si>
    <t>2 centrale</t>
  </si>
  <si>
    <t>v.e.</t>
  </si>
  <si>
    <t>boilere</t>
  </si>
  <si>
    <t>Cot 90 PPR DN25</t>
  </si>
  <si>
    <t>Racord PPR DN25</t>
  </si>
  <si>
    <t>Flanse DN80</t>
  </si>
  <si>
    <t>Flanse DN100</t>
  </si>
  <si>
    <t>Instalatie interioara de gaze naturale</t>
  </si>
  <si>
    <t>Cazan condensatie cu puterea instalata de 150kW</t>
  </si>
  <si>
    <t>http://www.centraleviessmann.ro/centrala-termica-in-condensare-viessmann-vitodens-200-w-vitotronic-100-hc1b-150-kw-p2268</t>
  </si>
  <si>
    <t>Vas de expansiune (50L)</t>
  </si>
  <si>
    <t>https://www.dedeman.ro/ro/vas-expansiune-50l-vrv050/p/2002187</t>
  </si>
  <si>
    <t>Boiler avand capacitatea de 1000L</t>
  </si>
  <si>
    <t>http://www.totulpentruinstalatii.ro/boilere-eldom/boiler-termoelectric-eldom-1000--251323</t>
  </si>
  <si>
    <t>Distribuitor d350 mm</t>
  </si>
  <si>
    <t>Statie dedurizare (Q=4.5mc/h)</t>
  </si>
  <si>
    <t>http://www.calorserv.ro/produse/Centrale-Termice/Statii-de-dedurizare/statii_dedurizator___2-5/statie-dedurizare-duplex-fleck-9100-dx-75-5-7-mc-h-IDRDX75</t>
  </si>
  <si>
    <t>Pompe circulatie turatie variabila (30mCA, 4.5mc/h)</t>
  </si>
  <si>
    <t>Pompe circulatie (5mCA, 4.5mc/h)</t>
  </si>
  <si>
    <t>Grup pompare apa potabila (1A+1R, 6.5mc/h, 34mCA)</t>
  </si>
  <si>
    <t>http://www.calorserv.ro/produse/Alimentare-cu-apa-instalatii-hidraulice/Grupuri-de-pompare-2-pompe/pompa_tip___grup_pompare_cps20--pompa_model___grup_pompare_jet__grup_pompare_jetinox/grup-de-pompare-cps-20-jet-1000-NOCCPS20JET1000</t>
  </si>
  <si>
    <t>OBIECT 6 - Retele exterioare de gaze naturale</t>
  </si>
  <si>
    <t>DE09XA</t>
  </si>
  <si>
    <t>Rigola cu gratar metalic</t>
  </si>
  <si>
    <t>Cot 90 PVC KG 160mm</t>
  </si>
  <si>
    <t>DEVIZUL obiectului:</t>
  </si>
  <si>
    <t>Bescuca Florin Radu</t>
  </si>
  <si>
    <t>S.C. Seira Rav Automatic S.R.L.</t>
  </si>
  <si>
    <t>Zamfirescu Radu</t>
  </si>
  <si>
    <t>Instalaţii de gaze naturale</t>
  </si>
  <si>
    <t>Lucrari demontare conducte apa existente</t>
  </si>
  <si>
    <t>Teava PPR DN32 polifuziune conducte distributie</t>
  </si>
  <si>
    <t>Colier galvanizat cauciucat DN32</t>
  </si>
  <si>
    <t>Izolatie elastomer DN32</t>
  </si>
  <si>
    <t>Teava PPR DN25 polifuziune conducte distributie</t>
  </si>
  <si>
    <t>Colier galvanizat cauciucat DN25</t>
  </si>
  <si>
    <t>Izolatie elastomer DN25</t>
  </si>
  <si>
    <t>Robinet de trecere 3/4"</t>
  </si>
  <si>
    <t>Teava PPR DN20 polifuziune conducte la obiecte sanitare</t>
  </si>
  <si>
    <t>Apometru 1"</t>
  </si>
  <si>
    <t>https://www.romstal.ro/contor-apa-rece-mnk-clasa-b-r80-q-6-3-mc-h-d-1-p11610.html</t>
  </si>
  <si>
    <t>Robinet de trecere 1"</t>
  </si>
  <si>
    <t>Spalator inox bucatarie</t>
  </si>
  <si>
    <t>Radiator portrosop (sistem prindere inclus)</t>
  </si>
  <si>
    <t>https://www.romstal.ro/calorifer-din-otel-pentru-baie-san-remo-drept-alb-450x1110mm-587w-p35682.html</t>
  </si>
  <si>
    <t>Radiator R22 600x1000 (sistem prindere inclus)</t>
  </si>
  <si>
    <t>https://www.romstal.ro/calorifer-din-otel-tip-panou-vision-22-600-x1000-2030w-p939165.html</t>
  </si>
  <si>
    <t>Radiator R22 600x400 (sistem prindere inclus)</t>
  </si>
  <si>
    <t>https://www.romstal.ro/calorifer-din-otel-tip-panou-vision-22-600-x400-812w-p939159.html</t>
  </si>
  <si>
    <t>https://www.romstal.ro/aerisitor-dezaerator-automat-3-8-p44329.html</t>
  </si>
  <si>
    <t>Robinet trecere tur cap termostatat 1/2" + retur 1/2"</t>
  </si>
  <si>
    <t>https://www.romstal.ro/set-robineti-danfoss-panda-tur-termostatat-returcap-termostatat-1-2-p52491.html</t>
  </si>
  <si>
    <t>https://www.romstal.ro/teava-pvc-cu-mufa-si-garnitura-pt-canalizare-gri-d-32x1-5-mm-l-0-5m-p50551.html</t>
  </si>
  <si>
    <t>https://www.romstal.ro/ramificatie-pvc-cu-garnitura-pt-canalizare-la-87-grd-d-110x110mm-p14340.html</t>
  </si>
  <si>
    <t>https://www.romstal.ro/dop-pvc-fonoabsorbanta-4silence-d-110mm-p14438.html</t>
  </si>
  <si>
    <t>https://www.romstal.ro/robinet-inchidere-din-fonta-tip-sertar-cu-flanse-si-etansare-pe-cauciuc-dn-80mm-p25964.html</t>
  </si>
  <si>
    <t>https://www.romstal.ro/robinet-inchidere-din-fonta-tip-sertar-cu-flanse-si-etansare-pe-cauciuc-dn-100mm-p25965.html</t>
  </si>
  <si>
    <t>Izolatie elastomer DN100</t>
  </si>
  <si>
    <t>https://www.romstal.ro/izolatie-elastomer-pt-tevi-instalatii-incalzire-sanitare-l-2m-d-114x19mm-p17250.html</t>
  </si>
  <si>
    <t>Colier galvanizat cauciucat DN100</t>
  </si>
  <si>
    <t>Teava metalica preizolata DN80</t>
  </si>
  <si>
    <t>http://www.windev.ro:82/?q=TEAVA+PREIZOLATA+DN80+(89+0X3+5)+MM+D+160+MM+EN253&amp;tip=Materiale&amp;orderby=RANK&amp;inorder=DESC&amp;grid-page=3</t>
  </si>
  <si>
    <t>Cot 90 metalic preizolat DN80</t>
  </si>
  <si>
    <t>Stut metal DN25 sudat in conducta DN80</t>
  </si>
  <si>
    <t>Conducta interioara gaze naturale</t>
  </si>
  <si>
    <t>Conducta exterioara gaze naturale</t>
  </si>
  <si>
    <t>https://www.materialeelectrice.ro/corp-de-iluminat-de-siguranta-cu-led-uri-356-x-136-x-84-mm-4w-kit-emergenta-24171</t>
  </si>
  <si>
    <t>http://www.utilul.ro/electrice/corpuri-iluminat-industrial/lampi-de-siguranta/-lampa-exit-cu-led-ip65--30x0-1w-total-green-tg-4104-4005.html</t>
  </si>
  <si>
    <t>http://www.emag.ro/switch-tp-link-24-x-10-100-1000mbps-tl-sg3424p/pd/E9DXKBBBM/</t>
  </si>
  <si>
    <t>http://www.emag.ro/switch-tp-link-16-x-10-100-1000mbps-2-x-sfp-tl-sg3216/pd/EZDBTBBBM/</t>
  </si>
  <si>
    <t>Router Wifi</t>
  </si>
  <si>
    <t>http://www.mondoplast.ro/Distribuitor-catv-pentru-interior-nextraCOM-FA-1-pg_ft-2171</t>
  </si>
  <si>
    <t>https://www.spy-shop.ro/sirena-adresabila-de-exterior-cu-flash-bentel-fc410lpav.html</t>
  </si>
  <si>
    <t>http://www.magazinuldealarme.ro/sisteme_antiincendiu/sirene/</t>
  </si>
  <si>
    <t>https://www.titanicshop.ro/detectie-incendiu/antiincendiu/sirene-de-incendiu/flash-adresabil-de-interior-global-fire-valkyrie-ab.html</t>
  </si>
  <si>
    <t>http://www.catenaelectric.ro/produs/ups-1100va-660w-apc-sx31k1ci-gr/</t>
  </si>
  <si>
    <t>https://www.romstal.ro/receptor-acop-viega_advantix-pp-vert-d-110-cu-guler-si-parafrunzar-d-100mm-p38103.html</t>
  </si>
  <si>
    <t>Teava PP DN110x2.7x3000</t>
  </si>
  <si>
    <t>https://www.dedeman.ro/ro/teava-pp-110x2-7x3000-mm-cu-inel/p/2000684</t>
  </si>
  <si>
    <t>https://www.dedeman.ro/ro/ramificatie-htea-110x50x87-polipropilena-scurgere/p/2000345</t>
  </si>
  <si>
    <t>Ramificatie redusa PP DN110 50</t>
  </si>
  <si>
    <t>https://www.dedeman.ro/ro/cot-htb-110x87-pp-scurgere/p/2000054</t>
  </si>
  <si>
    <t>https://www.dedeman.ro/ro/ramificatie-pp-htea-pentru-scurgere-75x45/p/2001083</t>
  </si>
  <si>
    <t>https://www.dedeman.ro/ro/teava-pp-40x1-8-3000mm-inel/p/2006557</t>
  </si>
  <si>
    <t>Teava PP DN40x1.8x3000</t>
  </si>
  <si>
    <t>Cot 90 PP DN110</t>
  </si>
  <si>
    <t>Ramificatie egala PP DN110</t>
  </si>
  <si>
    <t>https://www.dedeman.ro/ro/cot-htb-40x87-pp-scurgere/p/2000515</t>
  </si>
  <si>
    <t>https://www.dedeman.ro/ro/teava-pp-50x1-8-3000mm-inel/p/2006558</t>
  </si>
  <si>
    <t>Teava PP DN50x1.8x3000</t>
  </si>
  <si>
    <t>Cot 90 PP DN50</t>
  </si>
  <si>
    <t>Cot 90 PP DN40</t>
  </si>
  <si>
    <t>https://www.dedeman.ro/ro/cot-htb-50x87-pp-scurgere/p/2000052</t>
  </si>
  <si>
    <t>https://www.dedeman.ro/ro/sifon-complet-somes-1-esire-2-intrari-90grd-d50/p/2011212</t>
  </si>
  <si>
    <t>Colier galvanizat cauciucat DN50</t>
  </si>
  <si>
    <t>https://www.dedeman.ro/ro/colier-cu-garnitura-2-50506b000070c/p/1029017</t>
  </si>
  <si>
    <t>Teava PVC KG DN160x4x6000</t>
  </si>
  <si>
    <t>INSTALATII ELECTRICE</t>
  </si>
  <si>
    <t>STRUCTURA</t>
  </si>
  <si>
    <t>ARHITECTURA</t>
  </si>
  <si>
    <t>Adaos</t>
  </si>
  <si>
    <t>Cost unit. (fara TVA)</t>
  </si>
  <si>
    <t>Cost (fara TVA)</t>
  </si>
  <si>
    <t>Subdom.</t>
  </si>
  <si>
    <t>Montaj ventilator baie</t>
  </si>
  <si>
    <t>Montaj aparat aer conditionat</t>
  </si>
  <si>
    <t>Instalatie exterioara de gaze naturale</t>
  </si>
  <si>
    <t>Montaj cazan</t>
  </si>
  <si>
    <t>Montaj vas expansiune</t>
  </si>
  <si>
    <t>Montaj boiler</t>
  </si>
  <si>
    <t>Montaj distribuitor</t>
  </si>
  <si>
    <t>Montaj statie dedurizare</t>
  </si>
  <si>
    <t>Montaj pompe circulatie</t>
  </si>
  <si>
    <t>Montaj grup pompare apa potabila</t>
  </si>
  <si>
    <t>Lucrare #</t>
  </si>
  <si>
    <t>Instalatie apa rece si apa calda in centrala termica</t>
  </si>
  <si>
    <t>Instalatii iluminat si prize centrala termica</t>
  </si>
  <si>
    <t>Aplicare hidroizolatie lichida</t>
  </si>
  <si>
    <t>Demontare baterii</t>
  </si>
  <si>
    <t>Demontare cada</t>
  </si>
  <si>
    <t>Cofrare cu panouri refolosibile</t>
  </si>
  <si>
    <t>Compactare pamant</t>
  </si>
  <si>
    <t>Conductor CYYF 3x6 mmp montat in tub protectie</t>
  </si>
  <si>
    <t>Conductor CYABY 3x250+1x150mmp montat in pamant</t>
  </si>
  <si>
    <t>Conductor CYABY 3x150+1x75mmp montat in pamant</t>
  </si>
  <si>
    <t xml:space="preserve">Conductor CYYF 3x1.5 montat in tub protectie </t>
  </si>
  <si>
    <t>Conductor CYYF 3x2.5 montat in tub protectie</t>
  </si>
  <si>
    <t>Desfacere tencuieli neaderente</t>
  </si>
  <si>
    <t>Desfacere lambriuri</t>
  </si>
  <si>
    <t>Obs. 1</t>
  </si>
  <si>
    <t>pereti</t>
  </si>
  <si>
    <t>tavan</t>
  </si>
  <si>
    <t>Desfacere pardoseala linoleu</t>
  </si>
  <si>
    <t>atic</t>
  </si>
  <si>
    <t>pardoseala</t>
  </si>
  <si>
    <t>Desfacere placaj caramida aparenta</t>
  </si>
  <si>
    <t>Desfacere trotuar/platforma (inclusiv substraturi)</t>
  </si>
  <si>
    <t>Dop PP DN110</t>
  </si>
  <si>
    <t>Doza de legatura ANTIEX</t>
  </si>
  <si>
    <t>Glet tavane 2 straturi</t>
  </si>
  <si>
    <t>Incercare instalatie caTV, telefonie, date</t>
  </si>
  <si>
    <t>Inel patbanda impamantare perimetral atic</t>
  </si>
  <si>
    <t>Demontare lavoar baie</t>
  </si>
  <si>
    <t>Montare tamplarie noua metalica - usi acces interioare</t>
  </si>
  <si>
    <t>Montare tamplarie noua PVC - usi</t>
  </si>
  <si>
    <t>Montare tamplarie noua PVC - ferestre</t>
  </si>
  <si>
    <t>Placare caramida aparenta fatada</t>
  </si>
  <si>
    <t>pardoseala subsol</t>
  </si>
  <si>
    <t>holuri si acces</t>
  </si>
  <si>
    <t>Placare granit</t>
  </si>
  <si>
    <t>acces principal parter</t>
  </si>
  <si>
    <t>Protejare confectie metalica</t>
  </si>
  <si>
    <t>Ghene instalatii</t>
  </si>
  <si>
    <t>Borduri 20x25 pe fundatie beton 30x15</t>
  </si>
  <si>
    <t>Sapa protectie 3.5cm</t>
  </si>
  <si>
    <t>Tencuiala driscuita perete</t>
  </si>
  <si>
    <t>subsol</t>
  </si>
  <si>
    <t>Tencuiala driscuita tavan</t>
  </si>
  <si>
    <t>alba</t>
  </si>
  <si>
    <t>Tencuiala decorativa</t>
  </si>
  <si>
    <t>Robineti DN80 cu flanse</t>
  </si>
  <si>
    <t>Robineti DN100 cu flanse</t>
  </si>
  <si>
    <t>TSA02F1</t>
  </si>
  <si>
    <t>Sapatura manuala &lt;1.5 m adancime teren tare</t>
  </si>
  <si>
    <t>Demontare spalator bucatarie</t>
  </si>
  <si>
    <t>Tablou electric camera centrala termica</t>
  </si>
  <si>
    <t>Teu egal PPR DN100</t>
  </si>
  <si>
    <t>Cot 90 PPR DN100</t>
  </si>
  <si>
    <t>Teu egal PP DN110</t>
  </si>
  <si>
    <t>Teava PP DN110x2x3000</t>
  </si>
  <si>
    <t>Teava PP DN32</t>
  </si>
  <si>
    <t>Teava PPR DN100 polifuziune</t>
  </si>
  <si>
    <t>Termoizolatie polistiren 10 cm - terasa</t>
  </si>
  <si>
    <t>Termosistem fatada (adeziv, polistiren, plasa, dibluri)</t>
  </si>
  <si>
    <t>Trotuar dale beton turnat pe str nisip/pietris 10 cm, inclusiv rost bitum</t>
  </si>
  <si>
    <t>daca nu e inclus in grup pompare</t>
  </si>
  <si>
    <t>Demontare vas WC cu rezervor la inaltime</t>
  </si>
  <si>
    <t>perete balcon</t>
  </si>
  <si>
    <t>Zidarie BCA</t>
  </si>
  <si>
    <t>Localizare</t>
  </si>
  <si>
    <t>Consolidare - Suprabetonare padoseala 12 cm</t>
  </si>
  <si>
    <t>Structura in cadre noua</t>
  </si>
  <si>
    <t>Umplutura pamant compactat 98%</t>
  </si>
  <si>
    <t>Beton de egalizare C8/10</t>
  </si>
  <si>
    <t>Beton armat in fundatii C20/25</t>
  </si>
  <si>
    <t>Beton armat in stalpi C20/25</t>
  </si>
  <si>
    <t>Beton armat in grinzi C20/25</t>
  </si>
  <si>
    <t>Beton armat in placa C20/25</t>
  </si>
  <si>
    <t xml:space="preserve">Sarpanta lemn </t>
  </si>
  <si>
    <t>Sapatura mecanizata in pamant cu excavatorul</t>
  </si>
  <si>
    <t>Beton C25/30 in camasuire</t>
  </si>
  <si>
    <t>UTILAJE SI ECHIPAMENTE TEHNOLOGICE</t>
  </si>
  <si>
    <t>UTILAJE SI ECHIPAMENTE DE TRANSPORT</t>
  </si>
  <si>
    <t>DOTARI</t>
  </si>
  <si>
    <t>Instalaţii de ventilare, climatizare</t>
  </si>
  <si>
    <t>Instalaţii de încălzire</t>
  </si>
  <si>
    <t>Structura</t>
  </si>
  <si>
    <t>Instalatii electrice curenti tari</t>
  </si>
  <si>
    <t>Instalatii electrice curenti slabi</t>
  </si>
  <si>
    <t>Consolidare - Camasuire pereti 6+6 cm</t>
  </si>
  <si>
    <t>Consolidare - Centuri perimetrale superioare/inferioare pereti camasuiti</t>
  </si>
  <si>
    <t>Consolidare - Planseu existent</t>
  </si>
  <si>
    <t>Tencuiala armata cu fibra de sticla</t>
  </si>
  <si>
    <t>Consolidare - Realizare stalpisori in zidarie simpla existenta</t>
  </si>
  <si>
    <t>Desfacere zidarie</t>
  </si>
  <si>
    <t>Instalatii iluminat de siguranta</t>
  </si>
  <si>
    <t>Sistem drenare de suprafata (platforma)</t>
  </si>
  <si>
    <t>Sistem drenare subterana</t>
  </si>
  <si>
    <t>Piatra sparta</t>
  </si>
  <si>
    <t>Tub riflat perforat DN110</t>
  </si>
  <si>
    <t>https://www.dedeman.ro/ro/teava-riflata-d110-drenaj/p/2003738</t>
  </si>
  <si>
    <t>Geotextil</t>
  </si>
  <si>
    <t>STATIE DE POMPARE?????????????????</t>
  </si>
  <si>
    <t>Racord termic</t>
  </si>
  <si>
    <t>Instalatie in centrala termica proprie</t>
  </si>
  <si>
    <t>Instalatie agent termic interioara</t>
  </si>
  <si>
    <t>Cheltuieli conexe organizării şantierului                            30%(cap.5.1.)</t>
  </si>
  <si>
    <t>Organizare proceduri achiziţie</t>
  </si>
  <si>
    <t>ACTIVITATE</t>
  </si>
  <si>
    <t>AN 1</t>
  </si>
  <si>
    <t>AN 2</t>
  </si>
  <si>
    <t>AN 3</t>
  </si>
  <si>
    <t>TOTAL</t>
  </si>
  <si>
    <t>L 1</t>
  </si>
  <si>
    <t>L2</t>
  </si>
  <si>
    <t>L 3</t>
  </si>
  <si>
    <t>L 4</t>
  </si>
  <si>
    <t>L 5</t>
  </si>
  <si>
    <t>L 6</t>
  </si>
  <si>
    <t>L 7</t>
  </si>
  <si>
    <t>L 8</t>
  </si>
  <si>
    <t>L 9</t>
  </si>
  <si>
    <t>L 10</t>
  </si>
  <si>
    <t>L 11</t>
  </si>
  <si>
    <t>L 12</t>
  </si>
  <si>
    <t>ETAPA PREMERGATOARE IMPLEMENTARII PROIECTULUI</t>
  </si>
  <si>
    <t>Realizare Expertiza Tehnica (cap 3)</t>
  </si>
  <si>
    <t>PROIECTARE SI PROCEDURI DE ACHIZITIE</t>
  </si>
  <si>
    <t>Taxe avize, acorduri, autorizatii (cap 3)</t>
  </si>
  <si>
    <t>EXECUȚIE LUCRĂRI</t>
  </si>
  <si>
    <t>2.1</t>
  </si>
  <si>
    <t>Organizarea santierului - mobilizare, demobilizare (cap 5)</t>
  </si>
  <si>
    <t>Organizarea santierului - cheltuieli conexe/intretinere (cap 5)</t>
  </si>
  <si>
    <t>Montaj echipamente, dotari (cap 4)</t>
  </si>
  <si>
    <t>Procurare echipamente, dotari (cap 4)</t>
  </si>
  <si>
    <t>Cheltuieli diverse si neprevazute (cap 5)</t>
  </si>
  <si>
    <t>Receptia lucrarilor</t>
  </si>
  <si>
    <t>INCHEIEREA PROIECTULUI</t>
  </si>
  <si>
    <t>Darea in folosinta (cap 6)</t>
  </si>
  <si>
    <t>Din care C+M</t>
  </si>
  <si>
    <t>CC09A1</t>
  </si>
  <si>
    <t>Ancorare armatura cu pasta de ciment</t>
  </si>
  <si>
    <t>Cofrare cu panouri refolosibile / Torcretare beton/mortar</t>
  </si>
  <si>
    <t>RPCH13B</t>
  </si>
  <si>
    <t>Desfacere astereala</t>
  </si>
  <si>
    <t>RCSH14A#</t>
  </si>
  <si>
    <t>Structura acoperis (lemn)</t>
  </si>
  <si>
    <t>Desfacere sarpanta</t>
  </si>
  <si>
    <t>Acoperis</t>
  </si>
  <si>
    <t>Invelitoare tigla ceramica</t>
  </si>
  <si>
    <t>Desfacere invelitoare tigla metalica</t>
  </si>
  <si>
    <t>Desfacere invelitoare tigla ceramica</t>
  </si>
  <si>
    <t>Invelitoare tigla metalica</t>
  </si>
  <si>
    <t>RMCA01B</t>
  </si>
  <si>
    <t>RPCT26XA</t>
  </si>
  <si>
    <t>RPCT26XB</t>
  </si>
  <si>
    <t>CE05D1</t>
  </si>
  <si>
    <t>CE02B1</t>
  </si>
  <si>
    <t>SOLUTIE MAXIMALA</t>
  </si>
  <si>
    <t>fara goluri</t>
  </si>
  <si>
    <t>Termoizolare in acoperis (peste ultimul planseu)</t>
  </si>
  <si>
    <t>Termoizolare vata minerala 20cm peste planseu</t>
  </si>
  <si>
    <t>Nr. Crt.</t>
  </si>
  <si>
    <t>Cod</t>
  </si>
  <si>
    <t>R1</t>
  </si>
  <si>
    <t>Sapatura manuala de pamant in spatii limitate inclusiv transportul pamantului</t>
  </si>
  <si>
    <t>R2</t>
  </si>
  <si>
    <t>R3</t>
  </si>
  <si>
    <t>Umplutura cu balast, inclusiv compactare</t>
  </si>
  <si>
    <t>R4</t>
  </si>
  <si>
    <t>R5</t>
  </si>
  <si>
    <t>Beton armat in fundatii C25/30</t>
  </si>
  <si>
    <t>R6</t>
  </si>
  <si>
    <t>Armatura in fundatii BST500S</t>
  </si>
  <si>
    <t>R7</t>
  </si>
  <si>
    <t>Cofraj fundatii</t>
  </si>
  <si>
    <t>R8</t>
  </si>
  <si>
    <t>Beton armat pardoseala C25/30</t>
  </si>
  <si>
    <t>R9</t>
  </si>
  <si>
    <t>Armatura pardoseala STNB</t>
  </si>
  <si>
    <t>R10</t>
  </si>
  <si>
    <t>Beton armat in stalpi C25/30</t>
  </si>
  <si>
    <t>R11</t>
  </si>
  <si>
    <t>Armatura in stalpi BST500S</t>
  </si>
  <si>
    <t>R12</t>
  </si>
  <si>
    <t>Cofraj stalpi</t>
  </si>
  <si>
    <t>R13</t>
  </si>
  <si>
    <t>Beton armat in grinzi C25/30</t>
  </si>
  <si>
    <t>R14</t>
  </si>
  <si>
    <t>Armatura in grinzi BST500S</t>
  </si>
  <si>
    <t>R15</t>
  </si>
  <si>
    <t>Cofraj grinzi</t>
  </si>
  <si>
    <t>R16</t>
  </si>
  <si>
    <t>Beton armat in placa C25/30</t>
  </si>
  <si>
    <t>R17</t>
  </si>
  <si>
    <t>Armatura in placa BST500S</t>
  </si>
  <si>
    <t>R18</t>
  </si>
  <si>
    <t>Cofraj placa</t>
  </si>
  <si>
    <t>R19</t>
  </si>
  <si>
    <t>Perna de balast (30 cm grosime)</t>
  </si>
  <si>
    <t>R20</t>
  </si>
  <si>
    <t>Armatura camasuiala inclusiv conectori PC52</t>
  </si>
  <si>
    <t>R21</t>
  </si>
  <si>
    <t>Cofraj camasuiala fundatii</t>
  </si>
  <si>
    <t>R22</t>
  </si>
  <si>
    <t>Desfacere pardoaseala</t>
  </si>
  <si>
    <t>R23</t>
  </si>
  <si>
    <t xml:space="preserve">Demolare zidarie </t>
  </si>
  <si>
    <t>R24</t>
  </si>
  <si>
    <t>Beton stalpisor C20/25</t>
  </si>
  <si>
    <t>R25</t>
  </si>
  <si>
    <t>Armatura stalpisori PC 52</t>
  </si>
  <si>
    <t>R26</t>
  </si>
  <si>
    <t>Tencuire armata cu fibra de sticla</t>
  </si>
  <si>
    <t>R27</t>
  </si>
  <si>
    <t xml:space="preserve">Reparare fisurile prin aplicarea de fibre FRP </t>
  </si>
  <si>
    <t>R28</t>
  </si>
  <si>
    <t>Reparatie cu mortar a zonelor degradate</t>
  </si>
  <si>
    <t>R29</t>
  </si>
  <si>
    <t>Executie tencuieli</t>
  </si>
  <si>
    <t>R30</t>
  </si>
  <si>
    <t>R31</t>
  </si>
  <si>
    <t>Elemente din otel laminat S355</t>
  </si>
  <si>
    <t>R32</t>
  </si>
  <si>
    <t>Sapatura mecanizata de pamant in spatii limitate inclusiv transportul pamantului</t>
  </si>
  <si>
    <t>R33</t>
  </si>
  <si>
    <t>Transport sapatura</t>
  </si>
  <si>
    <t>tone</t>
  </si>
  <si>
    <t>R34</t>
  </si>
  <si>
    <t xml:space="preserve">Beton armat in pereti C25/30 </t>
  </si>
  <si>
    <t>R35</t>
  </si>
  <si>
    <t>Armatura in pereti</t>
  </si>
  <si>
    <t>R36</t>
  </si>
  <si>
    <t>Cofraj pereti</t>
  </si>
  <si>
    <t>R37</t>
  </si>
  <si>
    <t>Tabla cutata</t>
  </si>
  <si>
    <t>R38</t>
  </si>
  <si>
    <t>R39</t>
  </si>
  <si>
    <t xml:space="preserve">Beton armat in centuri </t>
  </si>
  <si>
    <t>R40</t>
  </si>
  <si>
    <t>Armatura in centuri BST500S</t>
  </si>
  <si>
    <t>R41</t>
  </si>
  <si>
    <t>Executie zidarie portanta de 30cm grosime</t>
  </si>
  <si>
    <t>R42</t>
  </si>
  <si>
    <t>Beton armat camasuiala</t>
  </si>
  <si>
    <t>R43</t>
  </si>
  <si>
    <t>Beton armat pardoseala C20/25</t>
  </si>
  <si>
    <t>R44</t>
  </si>
  <si>
    <t>R45</t>
  </si>
  <si>
    <t>R46</t>
  </si>
  <si>
    <t>R47</t>
  </si>
  <si>
    <t>R48</t>
  </si>
  <si>
    <t>Sapatura manuala de pamant in spatii limitate inclusiv transportul pamantului (10 cm)</t>
  </si>
  <si>
    <t>R49</t>
  </si>
  <si>
    <t xml:space="preserve">Umplutura cu pamant, inclusiv compactare    </t>
  </si>
  <si>
    <t>R50</t>
  </si>
  <si>
    <t>Beton pardoseala</t>
  </si>
  <si>
    <t>R51</t>
  </si>
  <si>
    <t>Armatura pardoseala</t>
  </si>
  <si>
    <t>R52</t>
  </si>
  <si>
    <t xml:space="preserve">Cofraj pardoseala </t>
  </si>
  <si>
    <t>R53</t>
  </si>
  <si>
    <t>Beton simplu in fundatii C12/15</t>
  </si>
  <si>
    <t>R54</t>
  </si>
  <si>
    <t xml:space="preserve">Planseu lemn </t>
  </si>
  <si>
    <t>R55</t>
  </si>
  <si>
    <t>Inlocuire tigla</t>
  </si>
  <si>
    <t>A01</t>
  </si>
  <si>
    <t>Desfaceri invelitori (olane/tigle, astereala, sarpanta)</t>
  </si>
  <si>
    <t>A02</t>
  </si>
  <si>
    <t>Sarpanta noua</t>
  </si>
  <si>
    <t>A03</t>
  </si>
  <si>
    <t>Ignifugare sarpanta</t>
  </si>
  <si>
    <t>A04</t>
  </si>
  <si>
    <t>Invelitoare noua (tigla solzi)</t>
  </si>
  <si>
    <t>A05</t>
  </si>
  <si>
    <t>Reparatii ornamente invelitoare (tabla zinc)</t>
  </si>
  <si>
    <t>A06</t>
  </si>
  <si>
    <t>Refacere jgheaburi/burlane</t>
  </si>
  <si>
    <t>A07</t>
  </si>
  <si>
    <t>Pazii</t>
  </si>
  <si>
    <t>A08</t>
  </si>
  <si>
    <t>Reparatii tencuieli pereti</t>
  </si>
  <si>
    <t>A09</t>
  </si>
  <si>
    <t>Reparatii/inlocuire tamplarie dubla lemn</t>
  </si>
  <si>
    <t>A10</t>
  </si>
  <si>
    <t>Sapa protectie hidroizolatii</t>
  </si>
  <si>
    <t>A11</t>
  </si>
  <si>
    <t>Injectii fisuri pereti</t>
  </si>
  <si>
    <t>A12</t>
  </si>
  <si>
    <t>Desfacere soclu</t>
  </si>
  <si>
    <t>A13</t>
  </si>
  <si>
    <t>Tencuieli soclu</t>
  </si>
  <si>
    <t>A14</t>
  </si>
  <si>
    <t>Zugraveli lavabile</t>
  </si>
  <si>
    <t>A15</t>
  </si>
  <si>
    <t>Strat termoizolant ultimul planseu vata minerala sul (in pod) - 20</t>
  </si>
  <si>
    <t>A16</t>
  </si>
  <si>
    <t>Strat termoizolant polistiren 10 cm dispunere orizontal</t>
  </si>
  <si>
    <t>A17</t>
  </si>
  <si>
    <t>Cordon bitum trotuar (dop)</t>
  </si>
  <si>
    <t>A18</t>
  </si>
  <si>
    <t>Curatire tencuieli fatade</t>
  </si>
  <si>
    <t>A19</t>
  </si>
  <si>
    <t>Impermeabilizare soclu (1 str panza + 2 str bitum)</t>
  </si>
  <si>
    <t>A20</t>
  </si>
  <si>
    <t>Refacere pardoseli exterioare (curatire placaj vechi, placaj nou)</t>
  </si>
  <si>
    <t>A21</t>
  </si>
  <si>
    <t>R56</t>
  </si>
  <si>
    <t>Consolid ziduri portante prin camasuire (stm 4 mm si M100 5 cm)</t>
  </si>
  <si>
    <t>R57</t>
  </si>
  <si>
    <t>Demolare beton (placa, dala peste 15 cm, mecanic)</t>
  </si>
  <si>
    <t xml:space="preserve"> Organizare de santier</t>
  </si>
  <si>
    <t>Denumirea cheltuielilor</t>
  </si>
  <si>
    <t>U.M.</t>
  </si>
  <si>
    <t>Pret unitar (lei)</t>
  </si>
  <si>
    <t>amplasare baraci (birou sef santier, magazie scule si unelte, vestiar)</t>
  </si>
  <si>
    <t>baraci din panouri modulare demontabile</t>
  </si>
  <si>
    <t>panoul de santier</t>
  </si>
  <si>
    <t>structura proprie</t>
  </si>
  <si>
    <t>imprejmuire provizorie</t>
  </si>
  <si>
    <t>panouri cu suporti</t>
  </si>
  <si>
    <t>amplasare grupuri sanitare ecologice</t>
  </si>
  <si>
    <t>bransament electric in interiorul incintei</t>
  </si>
  <si>
    <t>cablu 0,4kV, incl. lucrari</t>
  </si>
  <si>
    <t>bransament electric in exteriorul incintei</t>
  </si>
  <si>
    <t>montaj firida bransament</t>
  </si>
  <si>
    <t>Dotari</t>
  </si>
  <si>
    <t>Sapatura manuala</t>
  </si>
  <si>
    <t>incl. umplutura</t>
  </si>
  <si>
    <t>Retea apa</t>
  </si>
  <si>
    <t>teava polietilena Dn32</t>
  </si>
  <si>
    <t>Camin contorizare</t>
  </si>
  <si>
    <t>camin beton/caramida 1x1x1m</t>
  </si>
  <si>
    <t>Montaj apometru</t>
  </si>
  <si>
    <t>montaj apometru DN1"</t>
  </si>
  <si>
    <t>contor cu cadran umed</t>
  </si>
  <si>
    <t>sapatura manuala</t>
  </si>
  <si>
    <t>conducta canalizare</t>
  </si>
  <si>
    <t>PVC, Dn 125</t>
  </si>
  <si>
    <t>camine canalizare</t>
  </si>
  <si>
    <t>camine zidite beton/caramida</t>
  </si>
  <si>
    <t>bazin etans</t>
  </si>
  <si>
    <t>bazin beton armat, vol. 9mc</t>
  </si>
  <si>
    <t>Dezafectari</t>
  </si>
  <si>
    <t>demolari elemente din beton turnat</t>
  </si>
  <si>
    <t>trepte, platforme, elemente de constructie, fundatii, trotuare,etc</t>
  </si>
  <si>
    <t>desfacere imprejmuire existenta</t>
  </si>
  <si>
    <t>lemn, plasa - pe limita de proprietate, la nord si est</t>
  </si>
  <si>
    <t>desfaceri de tencuieli la fatade</t>
  </si>
  <si>
    <t>inclusiv tencuiala soclu</t>
  </si>
  <si>
    <t xml:space="preserve">desfaceri de tencuieli la pereti si tavane </t>
  </si>
  <si>
    <t>integral</t>
  </si>
  <si>
    <t>demolare planseu peste parter</t>
  </si>
  <si>
    <t>structura din lemn</t>
  </si>
  <si>
    <t>desfacere sarpanta si invelitoare</t>
  </si>
  <si>
    <t>inclusiv jgheaburi si burlane</t>
  </si>
  <si>
    <t>desfacerea tamplariei interioare si exterioare</t>
  </si>
  <si>
    <t>lemn cu geam simplu cu doua cercevele</t>
  </si>
  <si>
    <t>demolare pardoseli interioare</t>
  </si>
  <si>
    <t>dusumea lemn, inclusiv strat umplutura din  nisip-balast 20cm grosime</t>
  </si>
  <si>
    <t>desfacere instalatii electrice existente</t>
  </si>
  <si>
    <t>desfacere instalatii termice existente</t>
  </si>
  <si>
    <t>resturi sobe teracota</t>
  </si>
  <si>
    <t>incarcat si evacuat materiale</t>
  </si>
  <si>
    <t>moloz, confectii metalice, pardoseli, etc</t>
  </si>
  <si>
    <t>transport diverse</t>
  </si>
  <si>
    <t>resturi necunatificate pe categorii, gunoi menajer</t>
  </si>
  <si>
    <t>Constructii si instalatii interioare</t>
  </si>
  <si>
    <t>Structura de rezistenta cladire principala</t>
  </si>
  <si>
    <t>fundatii continue, samburi, centuri si grinzi din beton armat, plansee din beton armat, sarpanta din lemn ignifugat</t>
  </si>
  <si>
    <t>Arhitectura cladire principala</t>
  </si>
  <si>
    <t>zidarie, inchideri exterioare, tamplarie, invelitoare, finisaje, etc</t>
  </si>
  <si>
    <t>Instalatii comune cladire principala</t>
  </si>
  <si>
    <t>instalatii interioare electrice, sanitare, termice</t>
  </si>
  <si>
    <t>Alimentare energie electrica piscina</t>
  </si>
  <si>
    <t>cablu 0,4kV, sapatura, umplutura</t>
  </si>
  <si>
    <t>Construire anexa (magazie)</t>
  </si>
  <si>
    <t>constructie din lemn</t>
  </si>
  <si>
    <t>Instalatie electrica de protectie</t>
  </si>
  <si>
    <t>priza de pamant aferenta instalatiilor interioare si paratrasnetului (sapatura, umplutura, electrozi, platbanda, piese separatie, etc)</t>
  </si>
  <si>
    <t>montaj aparat aer conditionat</t>
  </si>
  <si>
    <t>montaj paratrasnet</t>
  </si>
  <si>
    <t>montaj centrala termica</t>
  </si>
  <si>
    <t>montaj boiler bivalent ACM</t>
  </si>
  <si>
    <t>montaj panouri solare ACM</t>
  </si>
  <si>
    <t>montaj pompa circulatie incalzire</t>
  </si>
  <si>
    <t>montaj pompa circulatie ACM</t>
  </si>
  <si>
    <t>montaj vas expansiune inchis</t>
  </si>
  <si>
    <t>montaj pompa recirculare</t>
  </si>
  <si>
    <t>montaj UPS</t>
  </si>
  <si>
    <t>montaj kit hidraulic panouri solare</t>
  </si>
  <si>
    <t>instalatie tip split 12.000 Btu</t>
  </si>
  <si>
    <t>autoamorsare, raza actiune R=12m</t>
  </si>
  <si>
    <t>combustibil solid (lemne), P=50kW</t>
  </si>
  <si>
    <t>Capacitate V= 50 litri</t>
  </si>
  <si>
    <t>2kW</t>
  </si>
  <si>
    <t>panouri cu tuburi vidate heat-pipe 12-18 tuburi</t>
  </si>
  <si>
    <t>kit amestec panouri solare cu pompa, manometre, robineti, teava</t>
  </si>
  <si>
    <t>capacitate 300 litri</t>
  </si>
  <si>
    <t>Mobilier</t>
  </si>
  <si>
    <t>scaune cu spatar, structura din lemn, tapiterie din panza</t>
  </si>
  <si>
    <t>scaun ergonomic cu rotile,  cotiere, tapiterie din piele ecologica, sistem de reglare a sezutului si spatarului</t>
  </si>
  <si>
    <t>pat cu somiera integrata, dim. 0,9x2,0m, cu saltea tip Relaxa</t>
  </si>
  <si>
    <t>pat dublu cu somiera integrata, dim.1,60x2m, cu saltea tip Relaxa</t>
  </si>
  <si>
    <t>cuier metal/lemn tip pom pentru interior</t>
  </si>
  <si>
    <t>fotoliu relaxare cu tapiterie din piele ecologica sau textil superior</t>
  </si>
  <si>
    <t>canapea de colt 6 locuri, cu tapiterie din piele ecologica sau textil superior</t>
  </si>
  <si>
    <t>comoda PAL melaminat sau lemn, canturi ABS, 1 sertar, dimensiuni (LxlxH): 1,2 x0,5x0,4-0,6m</t>
  </si>
  <si>
    <t>masa cu structura din lemn, 0,8x0,8m</t>
  </si>
  <si>
    <t>masuta din PAL melaminat sau lemn, canturi ABS, dimensiuni (LxlxH): 1,2 x0,45x0,45m</t>
  </si>
  <si>
    <t>masa rotunda din PAL melaminat sau lemn; canturi ABS, diamentru 0,6m</t>
  </si>
  <si>
    <t>birou din PAL melaminat, canturi ABS, 1 sertar, compartiment calculator, dimensiuni (LxlxH): 1,5 x0,7x0,8m</t>
  </si>
  <si>
    <t>dulap din PAL melaminat sau lemn, canturi ABS, dimensiuni (LxlxH): 1,5x0,6x2,0m</t>
  </si>
  <si>
    <t>mobilier de bucatarie din PAL melaminat cu blat rezistent la umiditate si caldura; sertare si usi adaptate echipamentelor; dimensiuni (LxlxH): 4,5 x0,6x0,9m</t>
  </si>
  <si>
    <t>mobilier de bucatarie suspendat din PAL melaminat cu canturi APS; usi adaptate echipamentelor; dimensiuni (LxlxH): 4,5 x0,4x0,6m</t>
  </si>
  <si>
    <t>complet echipat: 2 stingatoare portabile, 1 topor-tarnacop, 4 galeti tabla</t>
  </si>
  <si>
    <t>frigider clasa A+, 240litri, congelator inclus</t>
  </si>
  <si>
    <t>aparat electric pentru cafea filtru, cana termorezistenta din sticla 1-1,2litri, P=1.000W</t>
  </si>
  <si>
    <t>plita electrica cu 4 ochiuri</t>
  </si>
  <si>
    <t>cuptor elctric incorporabil</t>
  </si>
  <si>
    <t>cuptor cu microunde P=800W, 20litri</t>
  </si>
  <si>
    <t>televizor LED, diagonala 80cm</t>
  </si>
  <si>
    <t>televizor LED, diagonala 121cm</t>
  </si>
  <si>
    <t>hota electrica min.200mc/h</t>
  </si>
  <si>
    <t>set complet perdele si draperii pentru ferestre cu lungimea totala de 14ml; incl.furnitura de fixare</t>
  </si>
  <si>
    <t>set</t>
  </si>
  <si>
    <t>set complet lenjerie pat simplu</t>
  </si>
  <si>
    <t>set complet lenjerie pat dublu</t>
  </si>
  <si>
    <t>set inventar bucatarie (vase, vesela pt. 10 persoane)</t>
  </si>
  <si>
    <t>aspirator P=1600W</t>
  </si>
  <si>
    <t>set perie WC, suport hartie, polita, oglinda, suport prosoape</t>
  </si>
  <si>
    <t>prosoape corp, fata, picioare</t>
  </si>
  <si>
    <t>Amenajari exterioare</t>
  </si>
  <si>
    <t>defrisari selective</t>
  </si>
  <si>
    <t>vegetatie parazitara, arbusti, tufe</t>
  </si>
  <si>
    <t>trotuare si platforme pietonale</t>
  </si>
  <si>
    <t>trotuare din beton pentru protectia cladirii, platforme pietonale adiacente</t>
  </si>
  <si>
    <t>platforme balast/piatra sparta</t>
  </si>
  <si>
    <t>platforme parcare si acces carosabil; borduri din beton pentru delimitarea catre spatiul verde</t>
  </si>
  <si>
    <t>borduri prefabricate din beton</t>
  </si>
  <si>
    <t>borduri delimitare platforme si alei carosabile catre spatiul verde</t>
  </si>
  <si>
    <t>platforme acces, rampe si scari exterioare</t>
  </si>
  <si>
    <t>platforma intrare, rampa acces persoane cu dizabilitati, scara terasa zona relaxare; finisaj granit antiderapant</t>
  </si>
  <si>
    <t>amanajare spatii verzi cu gazon</t>
  </si>
  <si>
    <t>infiintare suprafete gazon prin semanare directa</t>
  </si>
  <si>
    <t>amanajare ronduri de flori</t>
  </si>
  <si>
    <t>infiintare suprafete verzi cu plante ornamentale perene</t>
  </si>
  <si>
    <t>amenajare spatii cu pomi fructiferi</t>
  </si>
  <si>
    <t>plantare pomi fructiferi specii autohtone</t>
  </si>
  <si>
    <t>imprejmuire frond stradal</t>
  </si>
  <si>
    <t>plasa sarma montata pe stalpi metalici, cu parapet din beton, incl. porti</t>
  </si>
  <si>
    <t>imprejmuire teren</t>
  </si>
  <si>
    <t>plasa sarma montata pe stalpi metalici cu fundatie izolata</t>
  </si>
  <si>
    <t>camera tehnica piscina</t>
  </si>
  <si>
    <t>camera subterana pentru echipamentele piscinei, V=5-6mc</t>
  </si>
  <si>
    <t>retea canalizare dus solar</t>
  </si>
  <si>
    <t>teava PVC Dn110 montata ingropat</t>
  </si>
  <si>
    <t>cablu electric subteran</t>
  </si>
  <si>
    <t>0,4 kV, incl. sapatura, umplutura</t>
  </si>
  <si>
    <t>stalpi iluminat incinta</t>
  </si>
  <si>
    <t>stalpi iluminat independenti cu sursa solara</t>
  </si>
  <si>
    <t>montaj piscina</t>
  </si>
  <si>
    <t>asamblarea structurii, instalarea membranei, instalarea filtrului, pompei si racordurilor, punerea in functiune</t>
  </si>
  <si>
    <t>ore</t>
  </si>
  <si>
    <t>montaj dus solar</t>
  </si>
  <si>
    <t>montaj cu conexpanduri beton, racord apa/scurgere</t>
  </si>
  <si>
    <t>banci exterior</t>
  </si>
  <si>
    <t>banci din lemn cu 3 locuri, structura metalica sau fonta,  fundatie proprie, cu spatar</t>
  </si>
  <si>
    <t>sezlonguri plaja</t>
  </si>
  <si>
    <t>sezlonguri pentru plaja reglabile, cu perne detasabile</t>
  </si>
  <si>
    <t>cosuri de gunoi</t>
  </si>
  <si>
    <t>cosuri de gunoi metalice, cu fundatie proprie</t>
  </si>
  <si>
    <t>piscina demontabila</t>
  </si>
  <si>
    <t>structura metalica, pereti si baza din PVC; Suprafata 40-50mp, adancime 0,9 - 1,2m; sistem filtrare/tratare si scara incluse</t>
  </si>
  <si>
    <t>dus solar</t>
  </si>
  <si>
    <t>dus cu sport propriu, incalzitor solar, robinet amestec, montaj aparent pe platforma</t>
  </si>
  <si>
    <t>Procudare firida bransament</t>
  </si>
  <si>
    <t>Procurare apometru Dn25</t>
  </si>
  <si>
    <t>Procurare aparat aer conditionat</t>
  </si>
  <si>
    <t>Procurare paratrasnet</t>
  </si>
  <si>
    <t>Procurare centrala termica cu gazeificare</t>
  </si>
  <si>
    <t>Procurare pompa circulatie incalzire</t>
  </si>
  <si>
    <t>Procurare pompa circulatie ACM</t>
  </si>
  <si>
    <t>Procurare vas de expansiune cu membrana</t>
  </si>
  <si>
    <t>Procurare pompa recirculare</t>
  </si>
  <si>
    <t>Procurare sursa neinteruptibila UPS</t>
  </si>
  <si>
    <t>Procurare panouri solare ACM</t>
  </si>
  <si>
    <t>Procurare kit hidraulic panouri solare</t>
  </si>
  <si>
    <t>Procurare boiler bivalent ACM</t>
  </si>
  <si>
    <t>Procurare scaun tapitat</t>
  </si>
  <si>
    <t>Procurare scaun ergonomic</t>
  </si>
  <si>
    <t>Procurare pat de o persoana</t>
  </si>
  <si>
    <t>Procurare pat dublu</t>
  </si>
  <si>
    <t>Procurare cuier tip pom</t>
  </si>
  <si>
    <t>Procurare fotoliu tapitat</t>
  </si>
  <si>
    <t>Procurare canapea de colt</t>
  </si>
  <si>
    <t>Procurare comoda joasa audio-tv</t>
  </si>
  <si>
    <t>Procurare masa din lemn</t>
  </si>
  <si>
    <t>Procurare masuta de cafea</t>
  </si>
  <si>
    <t>Procurare masa dormitor</t>
  </si>
  <si>
    <t>Procurare birou de lucru</t>
  </si>
  <si>
    <t>Procurare dulap haine</t>
  </si>
  <si>
    <t>Procurare corp inferior - bucatarie</t>
  </si>
  <si>
    <t>Procurare corp superior - bucatarie</t>
  </si>
  <si>
    <t>Procurare pichet PSI</t>
  </si>
  <si>
    <t>Procurare frigider</t>
  </si>
  <si>
    <t>Procurare filtru cafea</t>
  </si>
  <si>
    <t>Procurare plita electrica</t>
  </si>
  <si>
    <t>Procurare cuptor electric</t>
  </si>
  <si>
    <t>Procurare cuptor cu microunde</t>
  </si>
  <si>
    <t>Procurare televizor LED 80cm</t>
  </si>
  <si>
    <t>Procurare televizor LED 121cm</t>
  </si>
  <si>
    <t>Procurare hota</t>
  </si>
  <si>
    <t>Procurare set perdele si draperii</t>
  </si>
  <si>
    <t>Procurare lenjerie pat simplu</t>
  </si>
  <si>
    <t>Procurare lenjerie pat dublu</t>
  </si>
  <si>
    <t>Procurare inventar bucatarie</t>
  </si>
  <si>
    <t xml:space="preserve">Procurare aspirator </t>
  </si>
  <si>
    <t>Procurare set toaleta</t>
  </si>
  <si>
    <t>Procurare set prosoape</t>
  </si>
  <si>
    <t>Alimentare cu energie electrica (Cap. "Asigurarea utilitatilor obiectivului")</t>
  </si>
  <si>
    <t>Echipamente</t>
  </si>
  <si>
    <t>Descriere</t>
  </si>
  <si>
    <t>Demontare jgheaburi / burlane</t>
  </si>
  <si>
    <t>Jgheaburi / burlane</t>
  </si>
  <si>
    <t>Desfacere streasina / pazie</t>
  </si>
  <si>
    <t>Streasina / pazie</t>
  </si>
  <si>
    <t>Lifturi persoane cu dizabilitati (4 buc)</t>
  </si>
  <si>
    <t>Stabilizator tensiune static (240kW, 300kVA) - 400V</t>
  </si>
  <si>
    <t>Generator (275kVA, 220kW) - 400V (AAR, disjunctor, carcasa)</t>
  </si>
  <si>
    <t>Ascensor gabarit normal</t>
  </si>
  <si>
    <t>http://www.electropower.ro/produs/stabilizator-tensiune-static-electropower-ep-stk-300kva-240kw-400v/</t>
  </si>
  <si>
    <t>http://depozituldegeneratoare.ro/generatoare-de-curent-electrice-industriale-grupuri-electrogene-mari/generator-curent-electric-perkins-ese-275-tp-275-kva-diesel-trifazat-automatizare.html</t>
  </si>
  <si>
    <t>Generale</t>
  </si>
  <si>
    <t>Detaliate</t>
  </si>
  <si>
    <t>Montaje</t>
  </si>
  <si>
    <t>Inst electrice iluminat si prize</t>
  </si>
  <si>
    <t>Inst electrice iluminat de sig</t>
  </si>
  <si>
    <t>Inst electrice iluminat exterior si arhitectural</t>
  </si>
  <si>
    <t>Inst electrice alimentare HVAC</t>
  </si>
  <si>
    <t>Tablouri electrice - consid ca material</t>
  </si>
  <si>
    <t>MINAC, PET</t>
  </si>
  <si>
    <t>Sistem supraveghere video</t>
  </si>
  <si>
    <t>Sistem detectie si alarmare la efractie / Telefonie + internet/intranet/date</t>
  </si>
  <si>
    <t>Instalatii sanitare - demontare</t>
  </si>
  <si>
    <t>Instalatii sanitare - montare</t>
  </si>
  <si>
    <t>Instalatie detectie si avertizare inceput de incendiu</t>
  </si>
  <si>
    <t>Inst legare la pamant si paratrasnet</t>
  </si>
  <si>
    <t>Instalatii curenti tari - demontare</t>
  </si>
  <si>
    <t>ELECTRICE</t>
  </si>
  <si>
    <t>SANITARE</t>
  </si>
  <si>
    <t>Demontare instalatie stingere incendii existenta</t>
  </si>
  <si>
    <t>Montare instalatie noua hidranti / sprinklere / drencere</t>
  </si>
  <si>
    <t>Instalatii desfumare</t>
  </si>
  <si>
    <t>Casa tineretului Braila, Eu</t>
  </si>
  <si>
    <t>VENTILATII</t>
  </si>
  <si>
    <t>INCALZIRE</t>
  </si>
  <si>
    <t>Instalatii termice - demontare</t>
  </si>
  <si>
    <t>Instalatii termice - montare</t>
  </si>
  <si>
    <t>MINAC, Eu</t>
  </si>
  <si>
    <t>Instalatii ventilare - montare</t>
  </si>
  <si>
    <r>
      <t xml:space="preserve">Alimentare cu apa </t>
    </r>
    <r>
      <rPr>
        <b/>
        <sz val="10"/>
        <color indexed="8"/>
        <rFont val="Calibri"/>
        <family val="2"/>
        <charset val="238"/>
        <scheme val="minor"/>
      </rPr>
      <t>(Cap. "Asigurarea utilitatilor obiectivului")</t>
    </r>
  </si>
  <si>
    <r>
      <t xml:space="preserve">Retea canalizare </t>
    </r>
    <r>
      <rPr>
        <b/>
        <sz val="10"/>
        <color indexed="8"/>
        <rFont val="Calibri"/>
        <family val="2"/>
        <charset val="238"/>
        <scheme val="minor"/>
      </rPr>
      <t>(Cap. "Asigurarea utilitatilor obiectivului")</t>
    </r>
  </si>
  <si>
    <t xml:space="preserve">PROIECT :“PAVILION ADMINISTRATIV IN CAZARMA 1279 CIOROGARLA”  </t>
  </si>
  <si>
    <t>OBIECT 1 - Pavilion nou administrativ</t>
  </si>
  <si>
    <t>OBS</t>
  </si>
  <si>
    <t>Ancorare chimica bara</t>
  </si>
  <si>
    <t>Aplicare hidroizolatie</t>
  </si>
  <si>
    <t>Aplicare hidroizolatie pardoseala si pereti bai</t>
  </si>
  <si>
    <t>Beton panta nou terasa</t>
  </si>
  <si>
    <t>Buciardare si curatire suprafata existenta beton</t>
  </si>
  <si>
    <t>Curatire tencuieli neaderente pereti ext</t>
  </si>
  <si>
    <t>Demontare lambriuri pereti</t>
  </si>
  <si>
    <t>Demontare tamplarie existenta lemn ferestre</t>
  </si>
  <si>
    <t>Demontare tamplarie existenta lemn usi</t>
  </si>
  <si>
    <t>Desfacere beton panta terasa</t>
  </si>
  <si>
    <t>Desfacere caramida aparenta fatada</t>
  </si>
  <si>
    <t>Desfacere finisaj linoleu</t>
  </si>
  <si>
    <t>Desfacere hidroizolatie existenta terasa</t>
  </si>
  <si>
    <t>Desfacere suprafete tencuiala neaderente</t>
  </si>
  <si>
    <t>Desfacere tencuieli neaderente atic</t>
  </si>
  <si>
    <t>Desfacere trotuar (inclusiv substraturi)</t>
  </si>
  <si>
    <t>Desfaceri tencuieli pereti</t>
  </si>
  <si>
    <t>Desfaceri tencuieli tavane</t>
  </si>
  <si>
    <t>Folie polietilena (bariera contra vaporilor) terasa</t>
  </si>
  <si>
    <t>Glet tavane</t>
  </si>
  <si>
    <t>Hidroizolatie bituminoasa armata fibra sticla (bistrat) terasa</t>
  </si>
  <si>
    <t>Montare tamplarie noua metalica usi</t>
  </si>
  <si>
    <t>Montare tamplarie noua PVC ferestre</t>
  </si>
  <si>
    <t>Montare tamplarie noua PVC usi</t>
  </si>
  <si>
    <t>Placaj caramida aparenta fatada</t>
  </si>
  <si>
    <t>Placare granit holuri si acces</t>
  </si>
  <si>
    <t>Protejare stalpi acces (kg confectie metalica) exteriori</t>
  </si>
  <si>
    <t>Realizare ghene instalatii</t>
  </si>
  <si>
    <t>Realizare sapa protectie hidroizolatie 3.5cm</t>
  </si>
  <si>
    <t>Realizare termosistem fatada (adeziv, polistiren, plasa, dibluri)</t>
  </si>
  <si>
    <t>Reparatii atic</t>
  </si>
  <si>
    <t>Reparatii tencuieli exterioare</t>
  </si>
  <si>
    <t>Rigola platforma cu gratar metalic</t>
  </si>
  <si>
    <t>Schela fatada</t>
  </si>
  <si>
    <t>SELECTEAZA LUCRARE Te/Co/Iz</t>
  </si>
  <si>
    <t>Strat difuzie terasa</t>
  </si>
  <si>
    <t>Tencuiala decorativa alba fatada</t>
  </si>
  <si>
    <t>Tencuiala driscuita pereti</t>
  </si>
  <si>
    <t>Tencuieli tavane</t>
  </si>
  <si>
    <t>Termoizolatie polistiren 10 cm terasa</t>
  </si>
  <si>
    <t>Transport</t>
  </si>
  <si>
    <t>Trotuar dale beton pe sapa armata, str pietris 10 cm</t>
  </si>
  <si>
    <t>Zidarie BCA perete 15 cm</t>
  </si>
  <si>
    <t>STRUCTURA DE REZISTENTA</t>
  </si>
  <si>
    <t>Denumire lucrare</t>
  </si>
  <si>
    <t>Pret unitar</t>
  </si>
  <si>
    <t>#</t>
  </si>
  <si>
    <t>RTR1RC 100B</t>
  </si>
  <si>
    <t>TSA02B1</t>
  </si>
  <si>
    <t>Obiect</t>
  </si>
  <si>
    <t>Specif.</t>
  </si>
  <si>
    <t>Obs.</t>
  </si>
  <si>
    <t>COST UNIT (fara TVA)</t>
  </si>
  <si>
    <t>COST (fara TVA)</t>
  </si>
  <si>
    <t>OBIECT 1 - Consolidare la pavilionul A1</t>
  </si>
  <si>
    <t>CURENTI TARI</t>
  </si>
  <si>
    <t>CURENTI SLABI</t>
  </si>
  <si>
    <t>AR, ACM</t>
  </si>
  <si>
    <t>CANALIZARE</t>
  </si>
  <si>
    <t>PLUVIALA</t>
  </si>
  <si>
    <t>INSTALATII DE INCALZIRE, VENTILARE, CLIMATIZARE</t>
  </si>
  <si>
    <t>VENTILARE</t>
  </si>
  <si>
    <t>CLIMATIZARE</t>
  </si>
  <si>
    <t>MONTAJ UTILAJE SI ECHIPAMENTE TEHNOLOGICE</t>
  </si>
  <si>
    <t>OBIECT 2 - Lucrari de reabilitare la pavilionul A1</t>
  </si>
  <si>
    <t>Sapatura sant cablu</t>
  </si>
  <si>
    <t>RpEJ04A%</t>
  </si>
  <si>
    <t>Nisip sant cablu</t>
  </si>
  <si>
    <t>Conductor CYABY 3x250+1x150mmp</t>
  </si>
  <si>
    <t>Compactare</t>
  </si>
  <si>
    <t>Transport 5km</t>
  </si>
  <si>
    <t>Conductor CYABY 3x150+1x75mmp</t>
  </si>
  <si>
    <t>Conductor CYYF 3x6 mmp</t>
  </si>
  <si>
    <t>Sapatura</t>
  </si>
  <si>
    <t xml:space="preserve">Spargere beton </t>
  </si>
  <si>
    <t>Inel patbanda impamantare</t>
  </si>
  <si>
    <t xml:space="preserve">Conductor cupru CYYF 3x1.5 montat in tub protectie </t>
  </si>
  <si>
    <t>Doza</t>
  </si>
  <si>
    <t>Conductor cupru CYYF 3x2.5 montat in tub protectie</t>
  </si>
  <si>
    <t>Lucrari demontare</t>
  </si>
  <si>
    <t>Teava PPR DN32</t>
  </si>
  <si>
    <t>Bratara galvanizata cauciucata DN32</t>
  </si>
  <si>
    <t>Izolatie tip Armaflex DN32</t>
  </si>
  <si>
    <t>Teava PPR DN25</t>
  </si>
  <si>
    <t>Bratara galvanizata cauciucata DN25</t>
  </si>
  <si>
    <t>Izolatie tip Armaflex DN25</t>
  </si>
  <si>
    <t>Robinet cu bila DN20</t>
  </si>
  <si>
    <t>Teava PPR DN20</t>
  </si>
  <si>
    <t>Apometru</t>
  </si>
  <si>
    <t>Robinet DN32</t>
  </si>
  <si>
    <t>Izolatie tip Armaflex pentru DN32</t>
  </si>
  <si>
    <t>Teava DN110</t>
  </si>
  <si>
    <t>Izolatie tip Armaflex pentru DN110 (canaliz pluviala)</t>
  </si>
  <si>
    <t>Ramificatie redusa DN110 50</t>
  </si>
  <si>
    <t>Cot 90 DN110</t>
  </si>
  <si>
    <t>Ramificatie egala DN110</t>
  </si>
  <si>
    <t>Bratara galvanizata cauciucata DN100</t>
  </si>
  <si>
    <t>Teava DN40</t>
  </si>
  <si>
    <t>Coturi 90 DN40</t>
  </si>
  <si>
    <t>Teava DN50</t>
  </si>
  <si>
    <t>Coturi 90 DN50</t>
  </si>
  <si>
    <t>Bratara galvanizata cauciucata DN50</t>
  </si>
  <si>
    <t>Spargere platforme</t>
  </si>
  <si>
    <t>Umplutura+compactare</t>
  </si>
  <si>
    <t>Refacere platforme</t>
  </si>
  <si>
    <t>Teava PVC KG DN160</t>
  </si>
  <si>
    <t>Chiuveta bucatarie</t>
  </si>
  <si>
    <t>Cada</t>
  </si>
  <si>
    <t>Vas WC cu rezervor la inaltime</t>
  </si>
  <si>
    <t>Lavoar baie</t>
  </si>
  <si>
    <t>Baterii</t>
  </si>
  <si>
    <t>Chiuveta inox bucatarie</t>
  </si>
  <si>
    <t>Instalatie agent termic</t>
  </si>
  <si>
    <t>Lucrari demontare instalatie</t>
  </si>
  <si>
    <t>Montare radiatoare noi portrosop</t>
  </si>
  <si>
    <t>Montare radiatoare noi R22 600x1000</t>
  </si>
  <si>
    <t>Montare radiatoare noi R22 600x400</t>
  </si>
  <si>
    <t>Robinet trecere tur cap termostatat 1/2"</t>
  </si>
  <si>
    <t>Robinet trecere retur 1/2"</t>
  </si>
  <si>
    <t>Teava DN25 PPR</t>
  </si>
  <si>
    <t xml:space="preserve">Teava DN32 PPR </t>
  </si>
  <si>
    <t>Teava PVC DN32</t>
  </si>
  <si>
    <t>I</t>
  </si>
  <si>
    <t>OBIECT 3 - Lucrari de modernizare la pavilionul A1</t>
  </si>
  <si>
    <t>Instalatii iluminat de urgenta</t>
  </si>
  <si>
    <t>Tub protectie copex ignifug</t>
  </si>
  <si>
    <t>Conductor cupru montat in tub protectie 1..16 mmp (E30/FE180)</t>
  </si>
  <si>
    <t>Echipament acces wifi</t>
  </si>
  <si>
    <t>Incercare instalatie</t>
  </si>
  <si>
    <t>Teu egal DN110</t>
  </si>
  <si>
    <t>Capac DN110</t>
  </si>
  <si>
    <t>Lucrari de montaj echipamente</t>
  </si>
  <si>
    <t>OBIECT 4 - Amenajare centrala termica in pavilionul A1</t>
  </si>
  <si>
    <t>Instalatii iluminat si prize</t>
  </si>
  <si>
    <t>Tablou electric camera centrala</t>
  </si>
  <si>
    <t>Instalatie apa rece si apa calda</t>
  </si>
  <si>
    <t>Teava DN32</t>
  </si>
  <si>
    <t>Robinet cu bila DN32</t>
  </si>
  <si>
    <t>Robineti DN80</t>
  </si>
  <si>
    <t>Robineti DN100</t>
  </si>
  <si>
    <t>Robineti DN25</t>
  </si>
  <si>
    <t>Robineti DN32</t>
  </si>
  <si>
    <t>Teava DN100</t>
  </si>
  <si>
    <t>Teu egal DN100</t>
  </si>
  <si>
    <t>Cot 90 DN100</t>
  </si>
  <si>
    <t>Izolatie tip Armaflex DN100</t>
  </si>
  <si>
    <t>Teava DN80 metal preizolat - coloane oriz</t>
  </si>
  <si>
    <t>Cot 90 metalic DN80</t>
  </si>
  <si>
    <t>Stut metal DN25</t>
  </si>
  <si>
    <t>Lucrari</t>
  </si>
  <si>
    <t>Echipamente centrala termica</t>
  </si>
  <si>
    <t>Vas expansiune (50L) - daca nu e inclus in grup pompare</t>
  </si>
  <si>
    <t>OBIECT 5 - Instalatia de racordare la reteaua de alimentare cu gaze naturale</t>
  </si>
  <si>
    <t>Instalatie bransament g.n.</t>
  </si>
  <si>
    <t>Post reglare, masurare si control (detector de gaze, robineti, filtru si cartus filtrant, regulator de presiune, contor)</t>
  </si>
  <si>
    <t>Lucrari montaj</t>
  </si>
  <si>
    <t>Procurare</t>
  </si>
  <si>
    <t>Instalatie noua g.n.</t>
  </si>
  <si>
    <t>Retea exterioara de gaze naturale</t>
  </si>
  <si>
    <t>OBIECT 7 - Amenajari exterioare</t>
  </si>
  <si>
    <t>Instalatie colectare apa pluviala</t>
  </si>
  <si>
    <t>Teava PVC KG 160mm</t>
  </si>
  <si>
    <t>Sanitare:</t>
  </si>
  <si>
    <t>conducte de distributie si coloane PEID, conducte distribuite PPR</t>
  </si>
  <si>
    <t>Pluviala</t>
  </si>
  <si>
    <t>conductele ingropate PVC KG</t>
  </si>
  <si>
    <t>izolatie 9mm caserata folie alum</t>
  </si>
  <si>
    <t>termice</t>
  </si>
  <si>
    <t>teava pp-r cu fibra compozita izolate cu tuburi din elastomeri 9mm</t>
  </si>
  <si>
    <t>robinet dublureglaj pe tur, robinet reglaj pe retur, 1/2"</t>
  </si>
  <si>
    <t>aerisitoare automate la cota maxiama</t>
  </si>
  <si>
    <t>robineti golire sferici cu racord furtun</t>
  </si>
  <si>
    <t>asigurare suprafata vitrata si gura ventilare centrala termica</t>
  </si>
  <si>
    <t>toate din CT ANTIEX cu protectie la umiditate si praf</t>
  </si>
  <si>
    <t>pagina 19 si 20 pentru gaz natural</t>
  </si>
  <si>
    <t>OBIECT X</t>
  </si>
  <si>
    <t>LISTA CANTITATI
OBIECT X - YYZZ</t>
  </si>
  <si>
    <t>PROIECT :“XX YY ZZ”  
TITULARUL INVESTITIEI: XX YY ZZ
BENEFICIAR: XX YY ZZ
AMPLASAMENT: XX YY ZZ</t>
  </si>
  <si>
    <t>LISTA ANEXA CONTINAND UTILAJE SI ECHIPAMENTE TEHNOLOGICE</t>
  </si>
  <si>
    <t>Nr.crt.</t>
  </si>
  <si>
    <t>Denumire utilaj, echipament</t>
  </si>
  <si>
    <t>cant.</t>
  </si>
  <si>
    <t>Pretul  unitar  RON/buc.) exclusiv TVA</t>
  </si>
  <si>
    <t xml:space="preserve">Valoare totala col. 3 x 4  </t>
  </si>
  <si>
    <t xml:space="preserve">Furnizor                                     (denumire, adresa, tel./fax.)     </t>
  </si>
  <si>
    <t>Caracteristici  / fise tehnice</t>
  </si>
  <si>
    <t>exclusiv TVA</t>
  </si>
  <si>
    <t xml:space="preserve">PRIMA GO DISTRIBUTION S.R.L. Bucuresti, str. Huedin, nr.19, tel. 0732 050 800
cntact@prima-shop.ro
</t>
  </si>
  <si>
    <t>fara TVA</t>
  </si>
  <si>
    <t>https://www.kaldura.ro/distribuitoare-si-butelii-de-egalizare/distribuitoroare-cu-stut-filetat/distribuitor-sinus-cu-stut-filetat-80-60-3-circuite-de-incalzire</t>
  </si>
  <si>
    <t>Distribuitor - butelie egalizare</t>
  </si>
  <si>
    <t>Pompa recirculare</t>
  </si>
  <si>
    <t>Distribuitor circuite</t>
  </si>
  <si>
    <t>intrare tur-iesire retur;
3 circuite coloane.</t>
  </si>
  <si>
    <t>DEVIZ PROCURARE</t>
  </si>
  <si>
    <t>intrare tur-iesire retur;
min 15 circuite corpuri incalzire.</t>
  </si>
  <si>
    <t>intrare tur-iesire retur;
min 13 circuite corpuri incalzire.</t>
  </si>
  <si>
    <t>Debit: 8 mc/h;
Inaltime pompare: 8 mCA</t>
  </si>
  <si>
    <t>http://www.calor.ro/pompe-circulatie-apa-calda/pompe-de-circulatie-wilo-star-rsg</t>
  </si>
  <si>
    <t>Ventilator baie</t>
  </si>
  <si>
    <t>Grila ventilatie reglabila</t>
  </si>
  <si>
    <t>Grila ventilatie obloane fixe</t>
  </si>
  <si>
    <t>Dim: 2000x200 mm</t>
  </si>
  <si>
    <t>Anemostat reglabil</t>
  </si>
  <si>
    <t>Dim: 400x400 mm</t>
  </si>
  <si>
    <t>Dim: 1700x700 mm</t>
  </si>
  <si>
    <t xml:space="preserve">Plenum grila </t>
  </si>
  <si>
    <t>Dim: 450x450 mm</t>
  </si>
  <si>
    <t>Dim: 600x400 mm</t>
  </si>
  <si>
    <t>Temporizat</t>
  </si>
  <si>
    <t>Utilaje instalatii termice</t>
  </si>
  <si>
    <t>Utilaje instalatii ventilare-climatizare</t>
  </si>
  <si>
    <t>Utilaje instalatii sanitare</t>
  </si>
  <si>
    <t>Capacitate: 100L
Electric</t>
  </si>
  <si>
    <t>Boiler a.c.m.</t>
  </si>
  <si>
    <t>https://www.romstal.ro/boiler-electric-tesy-bilight-pt-incalzire-acm-100l-2000w-p49574.html</t>
  </si>
  <si>
    <t>Uscator maini</t>
  </si>
  <si>
    <t>LISTA ANEXA CONTINAND DOTARI</t>
  </si>
  <si>
    <t>https://www.romstal.ro/uscator-de-maini-vertigo-vertical-1200w-abs-gri-p51465.html</t>
  </si>
  <si>
    <t>cu aer, electric, vertical
montare in zona lavoarelor</t>
  </si>
  <si>
    <t>Ecran proiectie</t>
  </si>
  <si>
    <t>Sala pregatire</t>
  </si>
  <si>
    <t>Microfon</t>
  </si>
  <si>
    <t>Sistem audio</t>
  </si>
  <si>
    <t>Birou</t>
  </si>
  <si>
    <t>Scaun office</t>
  </si>
  <si>
    <t>Masa conferinta</t>
  </si>
  <si>
    <t>Scaun conferinta</t>
  </si>
  <si>
    <t>Masa consiliu</t>
  </si>
  <si>
    <t>6 persoane</t>
  </si>
  <si>
    <t>Scaune tapitate</t>
  </si>
  <si>
    <t>Galerie/draperie ferestre</t>
  </si>
  <si>
    <t>Dulap tip fiset</t>
  </si>
  <si>
    <t>Cuier perete</t>
  </si>
  <si>
    <t>Scaune amfiteatru</t>
  </si>
  <si>
    <t>Pupitru cu piedestal</t>
  </si>
  <si>
    <t>Vitrina steag</t>
  </si>
  <si>
    <t>Set
30 m liniari galerie/draperie</t>
  </si>
  <si>
    <t>Dimensiuni: 75x120x50
PAL, metal</t>
  </si>
  <si>
    <t>Ergonomic, rotativ</t>
  </si>
  <si>
    <t>Dimensiuni: 800x350x1800,
Metalic</t>
  </si>
  <si>
    <t>https://www.comenzi-scaune.ro/Scaune-pentru-sali-de-evenimente.html</t>
  </si>
  <si>
    <t>Tapiterie textila,
Forma ergonomica,
Structura metalica.</t>
  </si>
  <si>
    <t>Lemn</t>
  </si>
  <si>
    <t>Tapiterie textila</t>
  </si>
  <si>
    <t xml:space="preserve">Videoproiector </t>
  </si>
  <si>
    <t>Diagonala maxima imagine: 10 m
16:10
LAN
Distanta proiectie: pana la 20m</t>
  </si>
  <si>
    <t>https://tehnicavizuala.com/shop/index.php?main_page=product_info&amp;cPath=185_82&amp;products_id=6920</t>
  </si>
  <si>
    <t>Dimensiune: 300x300
Montare pe tavan/perete</t>
  </si>
  <si>
    <t>https://www.soundcreation.ro/sisteme-complete-de-sonorizare-cid104_1590/yamaha-stagepas-600i-id12848.html#prettyPhoto</t>
  </si>
  <si>
    <t>2 boxe, mixer amplificat, total 500W RMS</t>
  </si>
  <si>
    <t>fara fir</t>
  </si>
  <si>
    <t>APROB</t>
  </si>
  <si>
    <t>ȘEFUL DIRECȚIEI DOMENII ȘI INFRASTRUCTURI</t>
  </si>
  <si>
    <t>General de brigadă</t>
  </si>
  <si>
    <t>Gheorghe NISTOR</t>
  </si>
  <si>
    <t>Ventiloconvector tip 1</t>
  </si>
  <si>
    <t>Ventiloconvector tip 2</t>
  </si>
  <si>
    <t xml:space="preserve">Chiller </t>
  </si>
  <si>
    <t>Schimbator de caldura</t>
  </si>
  <si>
    <t>P incalzire: 3.41 kW;
P racire: 2.67 kW</t>
  </si>
  <si>
    <t>P incalzire: 6.35 kW;
P racire: 4.23 kW</t>
  </si>
  <si>
    <t>P racire: 65 kW</t>
  </si>
  <si>
    <t>In placi;
min. 110 kW</t>
  </si>
  <si>
    <t>http://www.calorserv.ro/produse/Climatizare-ventilare-si-tratare-aer/Ventiloconvectoare/ventiloconvectoare___ventiloconvectori-pe-pardoseala--ventiloconvectoare_racire___ventiloconvectori/ventiloconvector-de-pardoseala-carcasat-NOBVEFC03</t>
  </si>
  <si>
    <t>http://www.calorserv.ro/produse/Climatizare-ventilare-si-tratare-aer/Ventiloconvectoare/ventiloconvectoare___ventiloconvectori-pe-pardoseala--ventiloconvectoare_racire___ventiloconvectoare_de_pardoseala/ventiloconvector-de-pardoseala-carcasat-NOBVEFC05</t>
  </si>
  <si>
    <t>https://www.prodimar.ro/chiller-modular-hyudai-i65-65kw-p9434.html</t>
  </si>
  <si>
    <t>http://www.calorserv.ro/produse/Centrale-Termice/Schimbatoare-de-caldura/Schimbatoare-de-caldura-in-placi/schimbatoare_in_placi___schimbatoare/schimbator-de-caldura-z2-10-21-p-110-7-kw-ZILZ21021</t>
  </si>
  <si>
    <t>Ventiloconvector tip duct</t>
  </si>
  <si>
    <t>?????</t>
  </si>
  <si>
    <t>SITUATIA 2</t>
  </si>
  <si>
    <t>Capacitate totala incalzire 33.5 kW
Caoacutate totala racire 32.36 kW</t>
  </si>
  <si>
    <t>Capacitate totala incalzire 17.1 kW;
Capacitate totala racire 16.25 kW</t>
  </si>
  <si>
    <t>Denumirea capitolelor si subcapitolelor de cheltuieli</t>
  </si>
  <si>
    <t>lei</t>
  </si>
  <si>
    <t>CAP. 4 - CHELTUIELI PENTRU INVESTITIA DE BAZA</t>
  </si>
  <si>
    <t>Constructii si instalatii</t>
  </si>
  <si>
    <t>4.1.3</t>
  </si>
  <si>
    <t>4.1.4</t>
  </si>
  <si>
    <t>Terasamente, sistematizare pe verticala si amenajari exterioare</t>
  </si>
  <si>
    <t>Montaj utilaje, echipamente tehnologice si functionale</t>
  </si>
  <si>
    <t>Utilaje, echipamente tehnologice si functionale care necesita montaj</t>
  </si>
  <si>
    <t>Utilaje, echipamente tehnologice si functionale care nu necesita montaj si echipamente de transport</t>
  </si>
  <si>
    <t>4.1.4.1</t>
  </si>
  <si>
    <t>Instalatii</t>
  </si>
  <si>
    <t>4.1.4.2</t>
  </si>
  <si>
    <t>4.1.4.3</t>
  </si>
  <si>
    <t>4.1.4.4</t>
  </si>
  <si>
    <t>4.1.4.5</t>
  </si>
  <si>
    <t>4.1.4.6</t>
  </si>
  <si>
    <t>TOTAL I - subcap 4.1:</t>
  </si>
  <si>
    <t>TOTAL II - subcap 4.2:</t>
  </si>
  <si>
    <t>TOTAL III - subcap 4.3+4.4+4.5+4.6:</t>
  </si>
  <si>
    <t>TOTAL DEVIZ PE OBIECT (Total I + Total II + Total III):</t>
  </si>
  <si>
    <t>1.2.1</t>
  </si>
  <si>
    <t>LEI</t>
  </si>
  <si>
    <r>
      <rPr>
        <b/>
        <u/>
        <sz val="14"/>
        <rFont val="Times New Roman"/>
        <family val="1"/>
        <charset val="238"/>
      </rPr>
      <t>DE ACORD, ROG A APROBA</t>
    </r>
    <r>
      <rPr>
        <b/>
        <sz val="14"/>
        <rFont val="Times New Roman"/>
        <family val="1"/>
        <charset val="238"/>
      </rPr>
      <t xml:space="preserve">
</t>
    </r>
  </si>
  <si>
    <t>In preturi la data de:</t>
  </si>
  <si>
    <t>1 Euro =</t>
  </si>
  <si>
    <t>CAPITOLUL  1</t>
  </si>
  <si>
    <t>CAPITOLUL  2</t>
  </si>
  <si>
    <t>TVA:</t>
  </si>
  <si>
    <t xml:space="preserve">Cheltuieli pentru relocarea/protecţia utilităţilor </t>
  </si>
  <si>
    <t>1.2.2</t>
  </si>
  <si>
    <t>4.1.5</t>
  </si>
  <si>
    <t>4.1.7</t>
  </si>
  <si>
    <t>4.1.8</t>
  </si>
  <si>
    <t>4.3.2</t>
  </si>
  <si>
    <t>4.3.3</t>
  </si>
  <si>
    <t>4.3.4</t>
  </si>
  <si>
    <t>4.3.5</t>
  </si>
  <si>
    <t>4.3.6</t>
  </si>
  <si>
    <t>4.3.7</t>
  </si>
  <si>
    <t>4.2.2</t>
  </si>
  <si>
    <t>4.2.3</t>
  </si>
  <si>
    <t>4.2.4</t>
  </si>
  <si>
    <t>4.2.5</t>
  </si>
  <si>
    <t>4.2.6</t>
  </si>
  <si>
    <t>4.2.7</t>
  </si>
  <si>
    <t>Utilaje, echipamente tehnologice şi funcţionale care nu necesită montaj şi echip de transp.</t>
  </si>
  <si>
    <t>CAPITOLUL  4</t>
  </si>
  <si>
    <t>CAPITOLUL  3</t>
  </si>
  <si>
    <t>Cheltuieli pentru probe tehnologice şi teste şi predare la beneficiar</t>
  </si>
  <si>
    <t xml:space="preserve">Amenajare teren </t>
  </si>
  <si>
    <t>Studii</t>
  </si>
  <si>
    <t>3.1.1</t>
  </si>
  <si>
    <t>3.1.2</t>
  </si>
  <si>
    <t>3.1.3</t>
  </si>
  <si>
    <t xml:space="preserve">Studii de teren                           </t>
  </si>
  <si>
    <t xml:space="preserve">Raport privind impactul asupra mediului   </t>
  </si>
  <si>
    <t xml:space="preserve">Alte studii specifice                     </t>
  </si>
  <si>
    <t xml:space="preserve">Documentaţii-suport şi cheltuieli pentru  obţinerea de avize, acorduri şi autorizaţii     </t>
  </si>
  <si>
    <t xml:space="preserve">Expertizare tehnică  </t>
  </si>
  <si>
    <t xml:space="preserve">Certificarea performanţei energetice şi auditul  energetic al clădirilor      </t>
  </si>
  <si>
    <t>Proiectare</t>
  </si>
  <si>
    <t>3.5.1</t>
  </si>
  <si>
    <t>3.5.2</t>
  </si>
  <si>
    <t>3.5.3</t>
  </si>
  <si>
    <t>3.5.4</t>
  </si>
  <si>
    <t>3.5.5</t>
  </si>
  <si>
    <t>3.5.6</t>
  </si>
  <si>
    <t xml:space="preserve">Temă de proiectare                        </t>
  </si>
  <si>
    <t xml:space="preserve">Studiu de prefezabilitate                 </t>
  </si>
  <si>
    <t xml:space="preserve">Studiu de fezabilitate/documentaţie de  avizare a lucrărilor de intervenţii şi deviz general          </t>
  </si>
  <si>
    <t xml:space="preserve">Documentaţiile tehnice necesare în vederea  obţinerii avizelor/ acordurilor/ autorizaţiilor </t>
  </si>
  <si>
    <t xml:space="preserve">Verificarea tehnică de calitate a proiectului tehnic şi a detaliilor de execuţie        </t>
  </si>
  <si>
    <t xml:space="preserve">Proiect tehnic şi detalii de execuţie     </t>
  </si>
  <si>
    <t>Managementul de proiect pentru obiectivul de investitii</t>
  </si>
  <si>
    <t>Auditul financiar</t>
  </si>
  <si>
    <t>3.7.1</t>
  </si>
  <si>
    <t>3.7.2</t>
  </si>
  <si>
    <t xml:space="preserve">Consultanţă                                                      </t>
  </si>
  <si>
    <t xml:space="preserve">Asistenţă tehnică                                          </t>
  </si>
  <si>
    <t>3.8.1</t>
  </si>
  <si>
    <t>3.8.1.1</t>
  </si>
  <si>
    <t xml:space="preserve">Asistenţă tehnică din partea proiectantului              </t>
  </si>
  <si>
    <t>- pe perioada de execuţie a lucrărilor</t>
  </si>
  <si>
    <t>3.8.1.2</t>
  </si>
  <si>
    <t xml:space="preserve">- pentru participarea proiectantului la  fazele incluse în programul de control al  lucrărilor de execuţie, avizat de către Inspectoratul de Stat în Construcţii  </t>
  </si>
  <si>
    <t>3.8.2</t>
  </si>
  <si>
    <t xml:space="preserve">Dirigenţie de şantier                     </t>
  </si>
  <si>
    <t>DEVIZ FINANCIAR CAP. 3</t>
  </si>
  <si>
    <t>NR. CRT.</t>
  </si>
  <si>
    <t xml:space="preserve"> Valoare fără TVA</t>
  </si>
  <si>
    <t>3.1.</t>
  </si>
  <si>
    <t>3.1.1.</t>
  </si>
  <si>
    <t>STUDII DE TEREN</t>
  </si>
  <si>
    <t>3.1.2.</t>
  </si>
  <si>
    <t>RAPORT PRIVIND IMPACTUL ASUPRA MEDIULUI</t>
  </si>
  <si>
    <t>3.1.3.</t>
  </si>
  <si>
    <t>ALTE STUDII SPECIFICE</t>
  </si>
  <si>
    <t>3.2.</t>
  </si>
  <si>
    <t>DOCUMENTATII SUPORT SI CHELTUIELI PENTRU OBTINEREA DE AVIZE, ACORDURI SI AUTORIZATII</t>
  </si>
  <si>
    <t>3.3.</t>
  </si>
  <si>
    <t>EXPERTIZA TEHNICA</t>
  </si>
  <si>
    <t>3.4.</t>
  </si>
  <si>
    <t>3.5.</t>
  </si>
  <si>
    <t>3.5.1.</t>
  </si>
  <si>
    <t>TEMA DE PROIECTARE</t>
  </si>
  <si>
    <t>3.5.2.</t>
  </si>
  <si>
    <t>3.5.3.</t>
  </si>
  <si>
    <t>3.5.4.</t>
  </si>
  <si>
    <t>DOCUMENTATII TEHNICE NECESARE IN VEDEREA OBTINERII AVIZELOR/ACORDURILOR/AUTORIZATIILOR</t>
  </si>
  <si>
    <t>3.6.</t>
  </si>
  <si>
    <t>ORGANIZAREA PROCEDURILOR DE ACHIZITIE</t>
  </si>
  <si>
    <t>3.7.</t>
  </si>
  <si>
    <t>CONSULTANTA</t>
  </si>
  <si>
    <t>3.7.1.</t>
  </si>
  <si>
    <t>MANAGEMENTUL DE PROIECT DIN PARTEA PROIECTANTULUI</t>
  </si>
  <si>
    <t>3.7.2.</t>
  </si>
  <si>
    <t>AUDITUL FINANCIAR</t>
  </si>
  <si>
    <t>3.8.</t>
  </si>
  <si>
    <t>ASISTENTA TEHNICA</t>
  </si>
  <si>
    <t>ASISTENTA TEHNICA DIN PARTEA PROIECTANTULUI</t>
  </si>
  <si>
    <t>3.8.1.1.</t>
  </si>
  <si>
    <t>PE PERIOADA DE EXECUTIE A LUCRARILOR</t>
  </si>
  <si>
    <t>3.8.1.2.</t>
  </si>
  <si>
    <t>PT. PARTICIPAREA PROIECTANTULUI LA FAZELE INCLUSE IN PROGRAMUL DE CONTROL AL LUCRARILOR DE EXECUTIE, AVIZAT DE I.S.C.</t>
  </si>
  <si>
    <t>3.8.2.</t>
  </si>
  <si>
    <t>DIRIGENTIE DE SANTIER</t>
  </si>
  <si>
    <t>TOTAL CAPITOL 3</t>
  </si>
  <si>
    <t>CAP 2</t>
  </si>
  <si>
    <t>CAP 4</t>
  </si>
  <si>
    <t>CAP 4.1.</t>
  </si>
  <si>
    <t>Cap2+cap4=</t>
  </si>
  <si>
    <t>3%=</t>
  </si>
  <si>
    <t>pt</t>
  </si>
  <si>
    <t>verificare</t>
  </si>
  <si>
    <t xml:space="preserve">Organizare de şantier  2.5% (cap.1.2.+1.3.+1.4.+2+4.1.)                      </t>
  </si>
  <si>
    <t>5.2.1</t>
  </si>
  <si>
    <t>5.2.2</t>
  </si>
  <si>
    <t>5.2.3</t>
  </si>
  <si>
    <t>5.2.4</t>
  </si>
  <si>
    <t>5.2.5</t>
  </si>
  <si>
    <t xml:space="preserve">Comisioanele şi dobânzile aferente creditului băncii finanţatoare        </t>
  </si>
  <si>
    <t xml:space="preserve">Taxe pentru acorduri, avize conforme şi autorizaţia de construire/desfiinţare   </t>
  </si>
  <si>
    <t>Cota aferentă Casei Sociale a Constructorilor - CSC  0,5% cap.(1.2+1.3+1.4+2+3.5+3.8+4)</t>
  </si>
  <si>
    <t>Cota aferentă ISC pentru controlul  statului în amenajarea teritoriului, urbanism şi  pentru autorizarea lucrărilor de construcţii  0,1%  (cap4.1+cap5.1.1)</t>
  </si>
  <si>
    <t>Cota aferentă ISC pentru controlul  calităţii lucrărilor de construcţii 0,5% cap.(1.2+1.3+1.4+2+4.1+4.2+5.1.1)</t>
  </si>
  <si>
    <t>Comisioane, cote, taxe, costul creditului</t>
  </si>
  <si>
    <t>Cheltuieli diverse şi neprevăzute - I = 10%(1.2+1.3+1.4+2+3.5+3.8+4)</t>
  </si>
  <si>
    <t xml:space="preserve">Utilaje, echipamente tehnologice şi funcţionale care necesită montaj  </t>
  </si>
  <si>
    <t>4.2.8</t>
  </si>
  <si>
    <t>4.3.8</t>
  </si>
  <si>
    <t xml:space="preserve">Din  care    C + M (1.2 + 1.3 + 1.4 + 2 + 4.1 + 4.2 + 5.1.1)       </t>
  </si>
  <si>
    <t>CAPITOLUL  6</t>
  </si>
  <si>
    <t>Centrala tratare aer</t>
  </si>
  <si>
    <t>Chillere</t>
  </si>
  <si>
    <t>Cazan gaze naturale</t>
  </si>
  <si>
    <t>40 kW</t>
  </si>
  <si>
    <t>80 kW</t>
  </si>
  <si>
    <t>Boiler cu serpentina</t>
  </si>
  <si>
    <t>500 L</t>
  </si>
  <si>
    <t>Statie dedurizare</t>
  </si>
  <si>
    <t>2.4</t>
  </si>
  <si>
    <t>2.6</t>
  </si>
  <si>
    <t>Lucrari de amenajare teren (cap 1)</t>
  </si>
  <si>
    <t>OBIECT 1 - DEMOLARE PAVILION R5</t>
  </si>
  <si>
    <t>OBIECT 2 - PAVILION MULTIFUNCTIONAL</t>
  </si>
  <si>
    <t>OBIECT 3 - BRANSAMENT ELECTRIC LA JOASA TENSIUNE</t>
  </si>
  <si>
    <t>OBIECT 4 - RETEA DE ALIMENTARE CU APA</t>
  </si>
  <si>
    <t>OBIECT 5 - RETELE DE CANALIZARE</t>
  </si>
  <si>
    <t>OBIECT 6 - INSTALATIE EXTERIOARA DE UTILIZARE GAZE NATURALE</t>
  </si>
  <si>
    <t>OBIECT 7 - DRUMURI SI ALEI DIN BETON ASFALTIC</t>
  </si>
  <si>
    <t>OBIECT 8 - INSTALATII ELECTRICE DE CURENTI SLABI</t>
  </si>
  <si>
    <t>Se scad din 3.3 cheltuielile efectuate pentru elaborarea Studiului de fezabilitate (SC HIGH CONSTRUCT PROJECT SRL - 2017)</t>
  </si>
  <si>
    <t>S.C. HIGH CONSTRUCT PROJECT S.R.L.</t>
  </si>
  <si>
    <t>CONSTANTIN Marius</t>
  </si>
  <si>
    <t>BEȘCUCĂ Florin Radu</t>
  </si>
  <si>
    <t xml:space="preserve">PROIECT : “PAVILION MULTIFUNCTIONAL IN CAZARMA 380 SIBIU”  </t>
  </si>
  <si>
    <t>DEVIZ OFERTA PENTRU PROCURARE</t>
  </si>
  <si>
    <t>ELECTRIC</t>
  </si>
  <si>
    <t>150W absorbit,
220V</t>
  </si>
  <si>
    <t>550W
400V</t>
  </si>
  <si>
    <t>1500W
400V</t>
  </si>
  <si>
    <t>DEVIZ PENTRU PROCURARE</t>
  </si>
  <si>
    <t>Pretul  unitar  (RON/buc.) exclusiv TVA</t>
  </si>
  <si>
    <t>A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</si>
  <si>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</si>
  <si>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</si>
  <si>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</si>
  <si>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</si>
  <si>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</si>
  <si>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</si>
  <si>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</si>
  <si>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</si>
  <si>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</si>
  <si>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</si>
  <si>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</si>
  <si>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</si>
  <si>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</si>
  <si>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A.14</t>
  </si>
  <si>
    <t>A.15</t>
  </si>
  <si>
    <t>A.16</t>
  </si>
  <si>
    <t>A.17</t>
  </si>
  <si>
    <t>A.18</t>
  </si>
  <si>
    <t>A.19</t>
  </si>
  <si>
    <t>A.20</t>
  </si>
  <si>
    <t>A.21</t>
  </si>
  <si>
    <t>A.22</t>
  </si>
  <si>
    <t>A.23</t>
  </si>
  <si>
    <t>B</t>
  </si>
  <si>
    <t>B.1</t>
  </si>
  <si>
    <t>B.2</t>
  </si>
  <si>
    <t>B.3</t>
  </si>
  <si>
    <t>B.4</t>
  </si>
  <si>
    <t>B.5</t>
  </si>
  <si>
    <t>C.1</t>
  </si>
  <si>
    <t>C.2</t>
  </si>
  <si>
    <t>D</t>
  </si>
  <si>
    <t>D.1</t>
  </si>
  <si>
    <t>D.2</t>
  </si>
  <si>
    <t>D.3</t>
  </si>
  <si>
    <t>D.4</t>
  </si>
  <si>
    <t>E</t>
  </si>
  <si>
    <t>E.1</t>
  </si>
  <si>
    <t>E.2</t>
  </si>
  <si>
    <t>“PAVILION MULTIFUNCTIONAL IN CAZARMA 380 SIBIU”</t>
  </si>
  <si>
    <t xml:space="preserve">cod  proiect:  2016-I-380  </t>
  </si>
  <si>
    <t>Data:</t>
  </si>
  <si>
    <t>SEFUL STATULUI MAJOR AL FORTELOR TERESTRE</t>
  </si>
  <si>
    <t>General de brigada</t>
  </si>
  <si>
    <t>Ovidiu UIFĂLEANU</t>
  </si>
  <si>
    <t>OBIECT 9 - REZERVOR DE APĂ ȘI STAȚIE DE POMPARE</t>
  </si>
  <si>
    <t>Cap 2</t>
  </si>
  <si>
    <t>Cap 4</t>
  </si>
  <si>
    <t>Cap 4.1</t>
  </si>
  <si>
    <t>Cap 2 + Cap 4</t>
  </si>
  <si>
    <t>Cap 2 + Cap 4.1</t>
  </si>
  <si>
    <t>OBIECT 10 - GRUP GENERATOR DE JOASĂ TENSIUNE</t>
  </si>
  <si>
    <t>Grup generator de joasa tensiune</t>
  </si>
  <si>
    <t>Capacitate: 120kVA;
Diesel;
AAR;
Carcasa pentru amplasare in exterior;
Disjunctor;
Greutate: cca. 2 to;
Dimensiuni aprox: 1200x3250x1900 (lxLxH)</t>
  </si>
  <si>
    <t>Se scad din 3.3 cheltuielile efectuate pentru elaborarea Expertizei tehnice la Pavilion "R5" - Bloc alimentar Cazarma 380 Sibiu (SC PROIECT ARGES SA PITESTI - 2006)</t>
  </si>
  <si>
    <r>
      <t>DEVIZ  GENERAL</t>
    </r>
    <r>
      <rPr>
        <b/>
        <sz val="14"/>
        <color rgb="FFFF0000"/>
        <rFont val="Times New Roman"/>
        <family val="1"/>
      </rPr>
      <t xml:space="preserve"> - varianta maximala</t>
    </r>
  </si>
  <si>
    <t>5.4</t>
  </si>
  <si>
    <t>Cheltuieli pentru informare si publicitate</t>
  </si>
  <si>
    <t>S.C. SEIRA RAV AUTOMATIC S.R.L.</t>
  </si>
  <si>
    <t>ZAMFIRESCU Radu</t>
  </si>
  <si>
    <t>4.5.1</t>
  </si>
  <si>
    <t>4.5.2</t>
  </si>
  <si>
    <t>4.5.3</t>
  </si>
  <si>
    <t>4.5.4</t>
  </si>
  <si>
    <t>4.5.5</t>
  </si>
  <si>
    <t>4.5.8</t>
  </si>
  <si>
    <t>4.1.6</t>
  </si>
  <si>
    <t>TERASAMENTE</t>
  </si>
  <si>
    <t>Plantare puieti pomi perimetrali incintei (salcam pe 3 randuri la distante de 2 m distanta)</t>
  </si>
  <si>
    <t xml:space="preserve">Gard perimetral din stalpi si jumatati de bile decojite de esenta tare </t>
  </si>
  <si>
    <t>Intrare principala camping, avand lungimea de 5,00 m</t>
  </si>
  <si>
    <t>Pichetare teren</t>
  </si>
  <si>
    <t>Sapatura teren parcare</t>
  </si>
  <si>
    <t>Strat de balast parcare, g = 25 cm</t>
  </si>
  <si>
    <t>Strat de piatra sparta, parcare g = 15 cm</t>
  </si>
  <si>
    <t>Sapatura teren alei acces auto</t>
  </si>
  <si>
    <t>Strat de balast alei acces auto, g = 25 cm</t>
  </si>
  <si>
    <t>Strat de piatra sparta, alei acces auto, g = 15 cm</t>
  </si>
  <si>
    <t>Sapatura teren alei pietonale</t>
  </si>
  <si>
    <t>Strat de balast alei pietonale, g = 20 cm</t>
  </si>
  <si>
    <t>Strat de piatra sparta, alei pietonale, g = 15 cm</t>
  </si>
  <si>
    <t>Sapatura teren radier cabina poarta</t>
  </si>
  <si>
    <t>Strat de balast radier cabina poarta, g = 25 cm</t>
  </si>
  <si>
    <t>Strat de piatra sparta radier cabina poarta, g = 40 cm</t>
  </si>
  <si>
    <t>Terasamente incinta Gospodaria de apa</t>
  </si>
  <si>
    <t>Terasamente conducte distributie apa</t>
  </si>
  <si>
    <t>Sistematizare pe verticala incinta</t>
  </si>
  <si>
    <t>Aport de pamant vegetal, in strat de 15 cm</t>
  </si>
  <si>
    <t>Samanta de gazon</t>
  </si>
  <si>
    <t>Semanarea gazonului</t>
  </si>
  <si>
    <t>Sapatura fundatii cosuri si banci</t>
  </si>
  <si>
    <t xml:space="preserve">Beton C8/10 fundatii cosuri si banci </t>
  </si>
  <si>
    <t xml:space="preserve">Sapatura fundatii </t>
  </si>
  <si>
    <t xml:space="preserve">Turnare beton C8/10 </t>
  </si>
  <si>
    <t>Defrisarea terenului si a suprafetelor de tufisuri si arbusti</t>
  </si>
  <si>
    <t>Nivelari teren</t>
  </si>
  <si>
    <t>Sapaturi pentru amenajare zone verzi</t>
  </si>
  <si>
    <t>Plantare pomi  incinta -salcie (salix alba pendula)</t>
  </si>
  <si>
    <t>Plantare pomi  incinta -paulownia tomentosa</t>
  </si>
  <si>
    <t>Plantare flori - trandafiri</t>
  </si>
  <si>
    <t xml:space="preserve">Sapatura </t>
  </si>
  <si>
    <t xml:space="preserve">Umplutura </t>
  </si>
  <si>
    <t>Santuri de pamant</t>
  </si>
  <si>
    <t>Sapatura fundatii</t>
  </si>
  <si>
    <t>Strat de piatra sparta g = 40 cm</t>
  </si>
  <si>
    <t>Strat de balast, g = 25 cm</t>
  </si>
  <si>
    <t>buc.</t>
  </si>
  <si>
    <t>Km</t>
  </si>
  <si>
    <t>ha</t>
  </si>
  <si>
    <t>Subzidiri ziduri exterioare constructie existenta</t>
  </si>
  <si>
    <t>Turnare beton B150 in fundatii</t>
  </si>
  <si>
    <t>Turnare beton B200 in fundatii</t>
  </si>
  <si>
    <t>Cofrare fundatii, centura si stalpi</t>
  </si>
  <si>
    <t xml:space="preserve">Armatura </t>
  </si>
  <si>
    <t>Turnare beton B 250 in stalpi si centura</t>
  </si>
  <si>
    <t>Desfacere pardoseala veche</t>
  </si>
  <si>
    <t xml:space="preserve">Turnare pardoseala din beton B200 si plasa  </t>
  </si>
  <si>
    <t>Procurare  pardoseli din travertin</t>
  </si>
  <si>
    <t>Procurare  pardoseli parchet</t>
  </si>
  <si>
    <t xml:space="preserve">Desfintare zidarie </t>
  </si>
  <si>
    <t>Desfintare tencuiala interioara si exterioara</t>
  </si>
  <si>
    <t>Zidarie din caramida</t>
  </si>
  <si>
    <t>Tencuieli exterioare cu plasa STNB Ø5mm/10 cm</t>
  </si>
  <si>
    <t>Turnare beton de egalizare C 8/10</t>
  </si>
  <si>
    <t>Cofraje</t>
  </si>
  <si>
    <t>Confectionat si montat armatura radier</t>
  </si>
  <si>
    <t>Kg</t>
  </si>
  <si>
    <t>Turnare beton de egalizare C16/20</t>
  </si>
  <si>
    <t>Suprastructura lemn si invelitoare stuf, cabina poarta</t>
  </si>
  <si>
    <t>Turnare beton de egalizare B 150</t>
  </si>
  <si>
    <t>Confectionat si montat armatura fundatii</t>
  </si>
  <si>
    <t>Turnare beton B 200</t>
  </si>
  <si>
    <t>Strat de balast, g = 10 cm</t>
  </si>
  <si>
    <t>Strat de nisip, g = 5 cm</t>
  </si>
  <si>
    <t xml:space="preserve">Folie polietilena </t>
  </si>
  <si>
    <t>Armatura placa pardoseala</t>
  </si>
  <si>
    <t>Turnare beton B150 placa pardoseala</t>
  </si>
  <si>
    <t>Suprastructura lemn si invelitoare stuf, cladire</t>
  </si>
  <si>
    <t>Sapatura retea canalizare si fosa septica</t>
  </si>
  <si>
    <t>Sapatura teren radier cladiri dusuri (grupuri sanitare)</t>
  </si>
  <si>
    <t>Strat de balast radier, g = 25 cm</t>
  </si>
  <si>
    <t>Strat de piatra sparta radier, g = 40 cm</t>
  </si>
  <si>
    <t>Turnare beton de egalizare C8/10</t>
  </si>
  <si>
    <t>Suprastructura lemn si invelitoare stuf</t>
  </si>
  <si>
    <t>Platforma gunoi, pietruite si imprejmuite cu stalpi de lemn si jumatati de bile lemn</t>
  </si>
  <si>
    <t xml:space="preserve">Sapatura cabane </t>
  </si>
  <si>
    <t>Turnare beton C12/15</t>
  </si>
  <si>
    <t>Turnare beton C8/10 placa pardoseala</t>
  </si>
  <si>
    <t>Suprastructura lemn si invelitoare stuf, cabane 1 si 2</t>
  </si>
  <si>
    <t>Platforma gunoi, pietruita si imprejmuita cu stalpi de lemn si jumatati de bile lemn</t>
  </si>
  <si>
    <t>Imprejmuire incinta</t>
  </si>
  <si>
    <t>Cabina put forat</t>
  </si>
  <si>
    <t>Imprejmuire put forat F1</t>
  </si>
  <si>
    <t>Strat de balast -strat de forma, g = 20 cm</t>
  </si>
  <si>
    <t>Strat de piatra sparta, g = 20 cm</t>
  </si>
  <si>
    <t>Podete tubulare, diam. 600 mm, L = 6 m</t>
  </si>
  <si>
    <t>Podete tubulare, diam. 600 mm, L = 8 m</t>
  </si>
  <si>
    <t>Podete tubulare, diam.2x 1000 mm, L = 8 m</t>
  </si>
  <si>
    <t>Stalpi si indicatoare rutiere</t>
  </si>
  <si>
    <t>Semnalizare pe parcursul executiei lucrarilor</t>
  </si>
  <si>
    <t>Km echiv</t>
  </si>
  <si>
    <t>Cofrare fundatii</t>
  </si>
  <si>
    <t>Turnare beton B 250 in piloti</t>
  </si>
  <si>
    <t>Turnare beton B 150</t>
  </si>
  <si>
    <t>Turnare beton B 250 in radier</t>
  </si>
  <si>
    <t>Turn de observatie din grinzi de lemn acoperit cu stuf realizat pe 2 nivele, cu scara metalica elicoidala si prevazut cu  2 banci</t>
  </si>
  <si>
    <t xml:space="preserve">Reconditionare si restaurare tamplarie veche </t>
  </si>
  <si>
    <t>Tamplarie din lemn de stejar cu geam de sticla</t>
  </si>
  <si>
    <t xml:space="preserve">Planseu din lemn </t>
  </si>
  <si>
    <t>Termoizolatie cu vata minerala bazaltica si 2 randuri de scandura de brad avand 2,5 cm</t>
  </si>
  <si>
    <t>Desfacere sarpanta veche</t>
  </si>
  <si>
    <t>Sarpanta cladire</t>
  </si>
  <si>
    <t>Invelitoare din tigla</t>
  </si>
  <si>
    <t>Jgheaburi si burlane</t>
  </si>
  <si>
    <t>Compartimentari  din panouri rigips-carton verde rezistent la umezeala</t>
  </si>
  <si>
    <t>Vopsitorie exterioara lavabila in 2 straturi</t>
  </si>
  <si>
    <t>Vopsitorie interioara lavabila in 2 straturi</t>
  </si>
  <si>
    <t>Lambriuri din stejar avand  h = 1,50 m</t>
  </si>
  <si>
    <t>Demontare sobe existente si procurare sobe</t>
  </si>
  <si>
    <t>Trotuar perimetral</t>
  </si>
  <si>
    <t>Pavele de cauciuc montate pe nisip la locul de joaca</t>
  </si>
  <si>
    <t>Platforma rabatabila acces persoane cu dizabilitati</t>
  </si>
  <si>
    <t>Demontare instalatie electirca veche</t>
  </si>
  <si>
    <t>lot</t>
  </si>
  <si>
    <t>Conductor FY 1,5 mp</t>
  </si>
  <si>
    <t>Conductor FY 2,5 mp</t>
  </si>
  <si>
    <t>Conductor FY 6 mp</t>
  </si>
  <si>
    <t>Conductor FY 4 mp</t>
  </si>
  <si>
    <t>Tub protectie copex D 50 mm</t>
  </si>
  <si>
    <t>Tub protectie copex D 20 mm</t>
  </si>
  <si>
    <t>Tub protectie copex D 16 mm</t>
  </si>
  <si>
    <t>Tub protectie copex rigid tip cournflex</t>
  </si>
  <si>
    <t>Corp iluminat  FIRI-01-255</t>
  </si>
  <si>
    <t>Corp iluminat  FIRI-01-236</t>
  </si>
  <si>
    <t>Corp iluminat siguranta CISA-02-1 x 8PS</t>
  </si>
  <si>
    <t>Corp iluminat tip aplica de exterior AA-100VEGA</t>
  </si>
  <si>
    <t>Corp iluminat fluorescent FIPAD-04-236</t>
  </si>
  <si>
    <t>Prize duble tip SUCO</t>
  </si>
  <si>
    <t>Tablou electric 16 module</t>
  </si>
  <si>
    <t>Tablou electric 24 module</t>
  </si>
  <si>
    <t>Doze aparat</t>
  </si>
  <si>
    <t>Intrerupator</t>
  </si>
  <si>
    <t>Comutator</t>
  </si>
  <si>
    <t>Dibluri 6 mm</t>
  </si>
  <si>
    <t>Probe si verificari</t>
  </si>
  <si>
    <t>Terasamente  impamantare</t>
  </si>
  <si>
    <t>Platbanda Ol Zn 4 x 25 mm</t>
  </si>
  <si>
    <t>Platbanda Ol Zn 4 x 40 mm</t>
  </si>
  <si>
    <t>Teava Ol Dn 2 1/2"</t>
  </si>
  <si>
    <t>Teava protectie Dn 2"</t>
  </si>
  <si>
    <t>Cutie cu eclisa</t>
  </si>
  <si>
    <t>Instalatii electrice</t>
  </si>
  <si>
    <t>Instalatii electrice si iluminat incinta</t>
  </si>
  <si>
    <t>LOT</t>
  </si>
  <si>
    <t xml:space="preserve">Instalatie paratraznet </t>
  </si>
  <si>
    <t>BUC</t>
  </si>
  <si>
    <t>Terasamente</t>
  </si>
  <si>
    <t xml:space="preserve">Cablu ACYY 4x185 mmp </t>
  </si>
  <si>
    <t xml:space="preserve">Nisip protectie </t>
  </si>
  <si>
    <t>Stalp SC 10014</t>
  </si>
  <si>
    <t>Turnare beton B200 in fundatii stalp SC 10014</t>
  </si>
  <si>
    <t>Separator tripolar de exterior</t>
  </si>
  <si>
    <t>Consola metalica de derivatie</t>
  </si>
  <si>
    <t>Lant de intindere cu izolator compozit</t>
  </si>
  <si>
    <t>Clema de legatura 2,5-70 mmp</t>
  </si>
  <si>
    <t>Consola metalica de intindere</t>
  </si>
  <si>
    <t>Grup de 3 cutii terminale monofozate</t>
  </si>
  <si>
    <t>Priza de pamant cu 2 contururi</t>
  </si>
  <si>
    <t>Terminal interior 20 KV</t>
  </si>
  <si>
    <t>Confectie metalica cutii terminale</t>
  </si>
  <si>
    <t>Teava din polipropilena Dn 25 mm</t>
  </si>
  <si>
    <t>Teava din polipropilena Dn 32 mm</t>
  </si>
  <si>
    <t>Teava din polipropilena Pe-Xa Dn 17x2 mm</t>
  </si>
  <si>
    <t>Cutie distributie incalzire prin pardoseala cu 7 circuite</t>
  </si>
  <si>
    <t>Cutie distributie incalzire prin pardoseala cu 2 circuite</t>
  </si>
  <si>
    <t>Banda perimetrala si rosturi de dilatatare</t>
  </si>
  <si>
    <t>Aditiv de apa</t>
  </si>
  <si>
    <t>Curba conductoare din PE</t>
  </si>
  <si>
    <t>Regulator de camera (automatizare)</t>
  </si>
  <si>
    <t>Robinet 1/2</t>
  </si>
  <si>
    <t>Filtru Y 3/4"</t>
  </si>
  <si>
    <t>Strapungeri in zidarie si astuparea cu mortar</t>
  </si>
  <si>
    <t>Izolarea conductelor</t>
  </si>
  <si>
    <t>Bratari pentru fixare tevi</t>
  </si>
  <si>
    <t>Efectuarea de probe de etanseitate inst. termica</t>
  </si>
  <si>
    <t>Teava din otel neagra avand 1"</t>
  </si>
  <si>
    <t>Racord antivibrant montat pe chiller avand 1"</t>
  </si>
  <si>
    <t>Filtru Y 1"</t>
  </si>
  <si>
    <t>Vana cu 3 cai cu actionare electrica echipata cu servomotor, 3/4" grup pompare,  vas de expansiune si boiler avand 200 l</t>
  </si>
  <si>
    <t>Agent glicolat pentru instalatii de racire</t>
  </si>
  <si>
    <t>l</t>
  </si>
  <si>
    <t>Izolare conductelor exterioare cu cauciuc elastomer 19 mm + saltele de vata minerala</t>
  </si>
  <si>
    <t>Grila aspiratie rectangulara cu jaluzele reglabile avand 400 x 150 mm</t>
  </si>
  <si>
    <t>Clapeta antiretur circulara D= 315 mm</t>
  </si>
  <si>
    <t>Grila exterioara cu jaluzele antiploaie avand 800x300 mm</t>
  </si>
  <si>
    <t>Difuzor de plafon circular cu inele fixe</t>
  </si>
  <si>
    <t>Clapeta de reglaj</t>
  </si>
  <si>
    <t xml:space="preserve">Fitinguri diverse </t>
  </si>
  <si>
    <t>Tubulatura flexibila izolata din AL, D = 50 mm</t>
  </si>
  <si>
    <t>Izolarea cu saltea de vata minerala</t>
  </si>
  <si>
    <t>Conf. disp. de sutinere si ancorare aparate</t>
  </si>
  <si>
    <t>Teava  PPR 20 mm</t>
  </si>
  <si>
    <t>Teava  PPR 25 mm</t>
  </si>
  <si>
    <t>Teava  PPR 32 mm</t>
  </si>
  <si>
    <t>Teava din Cu 18 x 0.7mm</t>
  </si>
  <si>
    <t>Caciula de ventilare - 110 mm</t>
  </si>
  <si>
    <t>Sifon pardoseala PP50</t>
  </si>
  <si>
    <t>Lavoar</t>
  </si>
  <si>
    <t>Vas si rezervor wc</t>
  </si>
  <si>
    <t>Spalator</t>
  </si>
  <si>
    <t>Baterie lavoar cu senzor D 1/2"</t>
  </si>
  <si>
    <t>Baterie stativa  D 1/2"</t>
  </si>
  <si>
    <t>Etajera</t>
  </si>
  <si>
    <t>Oglinda sanitara 500/600</t>
  </si>
  <si>
    <t>Instalatii sanitare</t>
  </si>
  <si>
    <t>Retea canalizare PVC SN8 Dn 110 mm</t>
  </si>
  <si>
    <t xml:space="preserve">Instalatii hidraulice </t>
  </si>
  <si>
    <t xml:space="preserve">Forare put F1 </t>
  </si>
  <si>
    <t>Conducta aductiune Dn 75 mm</t>
  </si>
  <si>
    <t>Conducta distributie Dn 110 mm</t>
  </si>
  <si>
    <t>Conducta distributie Dn 40 mm</t>
  </si>
  <si>
    <t>Conducta distributie Dn 32 mm</t>
  </si>
  <si>
    <t>Hidranti supraterani de incendiu</t>
  </si>
  <si>
    <t>Bazin etans vidanjabil 5 mc</t>
  </si>
  <si>
    <t>Piese imbinare conducte, teuri, mufe, etc.</t>
  </si>
  <si>
    <t>%</t>
  </si>
  <si>
    <t>Teava PEHD100 SDR17 Dn 40 mm, inclusiv banda avertizare</t>
  </si>
  <si>
    <t>Umplutura nisip</t>
  </si>
  <si>
    <t>Camin apometru cu rama si capac pietonal, H=1,5 m</t>
  </si>
  <si>
    <t>Piese imbinare contucte, teuri, mufe, etc.</t>
  </si>
  <si>
    <t>Efectuarea de probe functionale si de etanseitate</t>
  </si>
  <si>
    <t>Conducta PVC KG SN8 D125 mm</t>
  </si>
  <si>
    <t>Spargeri si refaceri betonari</t>
  </si>
  <si>
    <t>Nisip protectie conducte</t>
  </si>
  <si>
    <t>Camin canalizare 1000 mm, avand H=1,5m</t>
  </si>
  <si>
    <t>INSTALATII HIDRAULICE</t>
  </si>
  <si>
    <t>Tencuieli interioare cu plasa STNB Ø5mm/10 cm</t>
  </si>
  <si>
    <t>Postament  echipamente din beton B200 armat cu plasa STNB Ø5mm/10 cm</t>
  </si>
  <si>
    <t>Domeniu</t>
  </si>
  <si>
    <t>4.1.10</t>
  </si>
  <si>
    <t>PROIECT : “SISTEM DE ÎNCĂLZIRE, REABILITARE ȘI REALIZARE PAVILIOANE  ÎN CAZARMA 1176 DOMNEȘTI ”</t>
  </si>
  <si>
    <t>ZONA</t>
  </si>
  <si>
    <t>PROIECT : SISTEM DE ÎNCĂLZIRE, REABILITARE ȘI REALIZARE PAVILIOANE  ÎN CAZARMA 1176 DOMNEȘTI ”</t>
  </si>
  <si>
    <t>Generator curent 80 kW</t>
  </si>
  <si>
    <t>Combustibil diesel; Curent nominal 144.3 A; Dimensiuni 3152x1105x1556; Greutate 1985 kg; Putere nominala 100 kVA. Tip motor 6 cilindri in linie, 4 timpi, racire cu apa, turbo</t>
  </si>
  <si>
    <t>Combustibil diesel; Curent nominal 360,9 A; Dimensiuni 3950x1100x1900; Putere maxima 275 kVA. Tip motor 6 cilindri in linie, 4 timpi,injectie directa, racire cu apa, turbo</t>
  </si>
  <si>
    <t>per mp</t>
  </si>
  <si>
    <t>Cota aferentă Casei Sociale a Constructorilor - CSC  0,1% cap.(1.2+1.3+1.4+2+4.1+4.2+5.1.1)</t>
  </si>
  <si>
    <t>Se scad din 3.3 Cheltuieli efectuate pentru elaborarea Expertizelor Tehnice</t>
  </si>
  <si>
    <t>A.24</t>
  </si>
  <si>
    <t>A.25</t>
  </si>
  <si>
    <t>B.6</t>
  </si>
  <si>
    <t>B.7</t>
  </si>
  <si>
    <t>B.8</t>
  </si>
  <si>
    <t>B.9</t>
  </si>
  <si>
    <t>B.10</t>
  </si>
  <si>
    <t>C.3</t>
  </si>
  <si>
    <t>C.4</t>
  </si>
  <si>
    <t>C.5</t>
  </si>
  <si>
    <t>C.6</t>
  </si>
  <si>
    <t>C.7</t>
  </si>
  <si>
    <t>Generator curent 200kW</t>
  </si>
  <si>
    <t>OBIECT 8 - Amenajare teren sportiv</t>
  </si>
  <si>
    <t>OBIECT 5 - Mansardare Clădire C02</t>
  </si>
  <si>
    <t>OBIECT 6 - Realizare Sala de sport</t>
  </si>
  <si>
    <t>OBIECT 7 - Dotari specifice</t>
  </si>
  <si>
    <t>VALOARE TOTALA</t>
  </si>
  <si>
    <t>TOTAL GENERAL RAMAS DE FINANTAT</t>
  </si>
  <si>
    <t>PROIECT : Extindere infrastructură educațională – Centrul Școlar pentru Educație înclusivă „Constantin Pufan”</t>
  </si>
  <si>
    <t>PROIECT : „Extindere infrastructură educațională – Centrul Școlar pentru Educație înclusivă „Constantin Pufan””</t>
  </si>
  <si>
    <t>OBIECT 4 - Dotări Specifice</t>
  </si>
  <si>
    <t>Camera de stimulare senzoriala</t>
  </si>
  <si>
    <t>Camera kinetoterapie</t>
  </si>
  <si>
    <t>Camera ludica</t>
  </si>
  <si>
    <t>Cheltuieli pentru realizarea branșamentului de gaz</t>
  </si>
  <si>
    <t>Cheltuieli pentru realizarea / modernizarea branșamentului de canalizare</t>
  </si>
  <si>
    <t xml:space="preserve">Organizare de şantier  1.5% (cap.1.2.+1.3.+1.4.+2+4.1.)                      </t>
  </si>
  <si>
    <t>OBIECT 3 - Amenajări exterioare</t>
  </si>
  <si>
    <t>AMENAJARE  ZONA PENTRU COPII CU VARSTE INTRE 1-3 ANI.</t>
  </si>
  <si>
    <t>Se scad din 3.4 cheltuielile efectuate pentru elaborarea Auditului energetic (SC SEIRA RAV AUTOMATIC SRL - 2018)</t>
  </si>
  <si>
    <t>Se scad din 3.3 cheltuielile efectuate pentru elaborarea Expertizei tehnice (SC SEIRA RAV AUTOMATIC SRL - 2018)</t>
  </si>
  <si>
    <t>Cheltuileli pentru informare si publicitate (cap 5)</t>
  </si>
  <si>
    <t>2.2</t>
  </si>
  <si>
    <t>2.3</t>
  </si>
  <si>
    <t>2.5</t>
  </si>
  <si>
    <t>OBIECT 2 - Clădire C02</t>
  </si>
  <si>
    <t xml:space="preserve">privind cheltuielile necesare realizării  obiectivului  de  investiţie  </t>
  </si>
  <si>
    <t>PROIECT : „Îmbunătățirea eficienței energetice, reabilitarea și modernizarea instalațiilor pavilionului administrativ cu nr 45-89-01 Constanța"</t>
  </si>
  <si>
    <t>Instalatii sanitare - Producere ACM</t>
  </si>
  <si>
    <t>Baterii lavoare</t>
  </si>
  <si>
    <t>Baterii + conducte, armaturi, sudura la termofuziune</t>
  </si>
  <si>
    <t>0,1% din CAP2+CAP4</t>
  </si>
  <si>
    <t>Se scad din 3.5 cheltuielile efectuate pentru elaborarea D.A.L.I. (SC CANDE SOLUTIONS SRL - 2018)</t>
  </si>
  <si>
    <t>PROIECTANT:</t>
  </si>
  <si>
    <t>DEVIZ  GENERAL</t>
  </si>
  <si>
    <t>euro</t>
  </si>
  <si>
    <t>*Utilaje, echipamente tehnologice si functionale care necesita montaj (* sunt incluse doar echipamente importante)</t>
  </si>
  <si>
    <t>TVA =</t>
  </si>
  <si>
    <t>Procent din CAP. 4+2 =</t>
  </si>
  <si>
    <t>Cheltuieli diverse şi neprevăzute = 10%(1.2+1.3+1.4+2+3.5+3.8+4)</t>
  </si>
  <si>
    <t>Aprobat,</t>
  </si>
  <si>
    <t>VALOARE TOTALĂ ÎN EURO CU T.V.A.</t>
  </si>
  <si>
    <t>PROCENTAJ DIN INVESTIȚIA DE BAZĂ</t>
  </si>
  <si>
    <t>CERTIFICAREA PERFORMANTEI ENERGETICE SI AUDITUL ENERGETIC AL CLADIRILOR (LA TERMINAREA LUCRĂRIILOR)</t>
  </si>
  <si>
    <t>Certificarea performanţei energetice şi auditul  energetic al clădirilor (la terminarea lucrăriilor)</t>
  </si>
  <si>
    <t xml:space="preserve">PRIMAR, </t>
  </si>
  <si>
    <t>ing. Parlapan Răzvan Gabriel</t>
  </si>
  <si>
    <t>Întocmit,</t>
  </si>
  <si>
    <t xml:space="preserve">CONSTRUCŢII ŞI INSTALAŢII - INVESTIŢIA DE BAZĂ </t>
  </si>
  <si>
    <t>CAP. 4 - CHELTUIELI PENTRU INVESTIŢIA DE BAZĂ</t>
  </si>
  <si>
    <t>4.1.1.1</t>
  </si>
  <si>
    <t>4.1.1.2</t>
  </si>
  <si>
    <t>4.1.1.3</t>
  </si>
  <si>
    <t>4.1.1.4</t>
  </si>
  <si>
    <t>Cheltuieli pentru realizarea racord alimentare cu apa</t>
  </si>
  <si>
    <t>Cheltuieli pentru realizare racord alimentare cu energie electrică</t>
  </si>
  <si>
    <t>Taxe pentru acorduri, avize conforme şi autorizaţia de construire/desfiinţare   (primăriile nu platesc pentru AC, ceilalaţi beneficiari, 0,5% din valoarea autorizată a lucrărilor de constructie )</t>
  </si>
  <si>
    <t>Lucrari de constructii şi instalaţii - OBIECT 1  (cap 4)</t>
  </si>
  <si>
    <t>Lucrari de constructii şi instalaţii - OBIECT 2  (cap 4)</t>
  </si>
  <si>
    <t>Lucrari de constructii şi instalaţii - OBIECT 3  (cap 4)</t>
  </si>
  <si>
    <t>STUDIU DE PREFEZABILITATE</t>
  </si>
  <si>
    <t>VERIFICAREA TEHNICĂ DE CALITATE A P.T. SI D.D.E.</t>
  </si>
  <si>
    <t>P.T. SI D.D.E.</t>
  </si>
  <si>
    <t>Elaborare  D.T.A.C., P.T. si D.D.E.</t>
  </si>
  <si>
    <t>Asistenta tehnica (cap 3):
- din partea proiectantului cand aceasta nu intra in tarifarea proiectarii
- din partea dirigintilor de santier desemnati de Beneficiar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</si>
  <si>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</si>
  <si>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</si>
  <si>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</si>
  <si>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</si>
  <si>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</si>
  <si>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</si>
  <si>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</si>
  <si>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</si>
  <si>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</si>
  <si>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</si>
  <si>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</si>
  <si>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 xml:space="preserve">Achizitie proiectare D.T.A.C., P.T. si D.D.E. si executie lucrari </t>
  </si>
  <si>
    <t>L6</t>
  </si>
  <si>
    <t>OBSERVATII</t>
  </si>
  <si>
    <t>Alte cheltuieli - comisioane, taxe, cote legale (cap 5)</t>
  </si>
  <si>
    <t>VALOARE ESTIMATA OBIECTIV DE INVESTITII (lei inclusiv TVA)</t>
  </si>
  <si>
    <t>GRAFIC  FIZIC  DE  REALIZARE A INVESTIȚIEI</t>
  </si>
  <si>
    <r>
      <t xml:space="preserve">Certificarea performantei energetice (cap 3) - </t>
    </r>
    <r>
      <rPr>
        <b/>
        <sz val="14"/>
        <rFont val="Times New Roman"/>
        <family val="1"/>
        <charset val="238"/>
      </rPr>
      <t>valoare servicii inclusa in 2.1</t>
    </r>
  </si>
  <si>
    <t xml:space="preserve">ING. PARLAPAN RĂZVAN GABRIEL </t>
  </si>
  <si>
    <t>Cheltuieli pentru realizare racord canalizare menajera</t>
  </si>
  <si>
    <t>15/08/2019</t>
  </si>
  <si>
    <t xml:space="preserve">Dotări </t>
  </si>
  <si>
    <t>Curs Euro, 15.08.2019</t>
  </si>
  <si>
    <t>Cheltuieli pentru realizare racord gaze naturale</t>
  </si>
  <si>
    <t>Montaj utilaje, echipamente tehnologice şi funcţionale</t>
  </si>
  <si>
    <t>Utilaje, echipamente tehnologice şi funcţionale care nu necesită montaj şi echip. de transport</t>
  </si>
  <si>
    <t xml:space="preserve">Terasamente, sistematizare pe verticala si amenajari exterioare </t>
  </si>
  <si>
    <t xml:space="preserve">Instalaţii </t>
  </si>
  <si>
    <t>Lucrari de constructii - utilitati (cap 2), cuprinse in Obiect 3 (cap.4)</t>
  </si>
  <si>
    <t>Lucrări de construcţii ( Panouri inchidere perimetru organizare santier,  Container birou (pentru organizare santier), Container sanitar (pentru organizare santier), Toaleta ecologica (o cabina - pentru organizare de santier)                                     70% (cap.5.1.)</t>
  </si>
  <si>
    <t>Cheltuieli conexe organizării şantierului(Taxa depozit - groapa ecologica deseuri)                          30%(cap.5.1.)</t>
  </si>
  <si>
    <t>Municipiul Sfântu Gheorghe</t>
  </si>
  <si>
    <t>Consultanta (cap 3), asigurată de UAT Sfântu Gheorghe</t>
  </si>
  <si>
    <t>PROIECT : ‘’ Consolidare și reabilitare imobil locuințe bloc nr. 25, str. Dealului nr. 11, Municipiul Sfântu Gheorghe, Județul Covasna‘’</t>
  </si>
  <si>
    <t>Faza: D.A.L.I.</t>
  </si>
  <si>
    <t>Modernizarea sistemului de distributie
apa rece (inclusiv coloane)</t>
  </si>
  <si>
    <t>Amenajări pt. protecţia mediului - Refacere spaţii verzi deteriorate în timpul lucrărilor de consolidare și reabilitare termică</t>
  </si>
  <si>
    <t>D.A.L.I. SI D.G.</t>
  </si>
  <si>
    <t>FAZA: D.A.L.I.</t>
  </si>
  <si>
    <t xml:space="preserve">Documentaţie de  avizare a lucrărilor de intervenţii şi deviz general          </t>
  </si>
  <si>
    <t>Realizare D.A.L.I. (cap 3)</t>
  </si>
  <si>
    <r>
      <t xml:space="preserve"> ‘’ Consolidare și reabilitare imobil locuințe bloc nr. 25, str. Dealului nr. 11, Municipiul Sfântu Gheorghe, Județul Covasna‘’
</t>
    </r>
    <r>
      <rPr>
        <b/>
        <sz val="15"/>
        <color rgb="FFFF0000"/>
        <rFont val="Arial"/>
        <family val="2"/>
      </rPr>
      <t xml:space="preserve">FAZA :  D.A.L.I. - scenariul recomandat </t>
    </r>
    <r>
      <rPr>
        <b/>
        <sz val="15"/>
        <rFont val="Arial"/>
        <family val="2"/>
      </rPr>
      <t xml:space="preserve">
</t>
    </r>
  </si>
  <si>
    <t>1,5% din C+M</t>
  </si>
  <si>
    <t>0,5% din C+M</t>
  </si>
  <si>
    <t>0,3% din C+M</t>
  </si>
  <si>
    <t>0,2% din C+M</t>
  </si>
  <si>
    <t>1% din C+M</t>
  </si>
  <si>
    <t>Cota aferentă ISC pentru controlul  statului în amenajarea teritoriului, urbanism şi  pentru autorizarea lucrărilor de construcţii  0,1%  C+M</t>
  </si>
  <si>
    <t xml:space="preserve">Întocmit, </t>
  </si>
  <si>
    <t>Modernizarea instalatiilor sanitare, inlocuirea coloanelor de canalizare menajera si pluviale</t>
  </si>
  <si>
    <t>Consolidare şi reabilitare Blocul nr. 25, str. Dealului, Sf. Gheorghe</t>
  </si>
  <si>
    <t>Rezistenţă (consolidare)</t>
  </si>
  <si>
    <t>Arhitectură (reabilitare termică)</t>
  </si>
  <si>
    <t>4.1.9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</si>
</sst>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(* #,##0_);_(* \(#,##0\);_(* &quot;-&quot;_);_(@_)"/>
    <numFmt numFmtId="43" formatCode="_(* #,##0.00_);_(* \(#,##0.00\);_(* &quot;-&quot;??_);_(@_)"/>
    <numFmt numFmtId="164" formatCode="_-* #,##0.00\ _l_e_i_-;\-* #,##0.00\ _l_e_i_-;_-* &quot;-&quot;??\ _l_e_i_-;_-@_-"/>
    <numFmt numFmtId="165" formatCode="_(* #,##0.000_);_(* \(#,##0.000\);_(* &quot;-&quot;??_);_(@_)"/>
    <numFmt numFmtId="166" formatCode="0.000"/>
    <numFmt numFmtId="167" formatCode="#,##0.000"/>
    <numFmt numFmtId="168" formatCode="0.0000"/>
    <numFmt numFmtId="169" formatCode="#,##0.0000"/>
    <numFmt numFmtId="170" formatCode="_(* #,##0_);_(* \(#,##0\);_(* &quot;-&quot;??_);_(@_)"/>
    <numFmt numFmtId="171" formatCode="#,##0.00\ [$€-1]"/>
    <numFmt numFmtId="172" formatCode="_-* #,##0.00\ [$€-1]_-;\-* #,##0.00\ [$€-1]_-;_-* &quot;-&quot;??\ [$€-1]_-;_-@_-"/>
    <numFmt numFmtId="173" formatCode="#,##0.00\ [$€-1];\-#,##0.00\ [$€-1]"/>
    <numFmt numFmtId="174" formatCode="[$-409]d\-mmm\-yy;@"/>
    <numFmt numFmtId="175" formatCode="#,##0.00\ &quot;lei&quot;"/>
    <numFmt numFmtId="176" formatCode="#,##0.00_ ;\-#,##0.00\ "/>
    <numFmt numFmtId="177" formatCode="[$-F800]dddd\,\ mmmm\ dd\,\ yyyy"/>
    <numFmt numFmtId="178" formatCode="#,##0.0000\ &quot;lei&quot;"/>
  </numFmts>
  <fonts count="1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</font>
    <font>
      <i/>
      <sz val="10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i/>
      <sz val="10"/>
      <color rgb="FF0070C0"/>
      <name val="Arial"/>
      <family val="2"/>
      <charset val="238"/>
    </font>
    <font>
      <b/>
      <u val="singleAccounting"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color rgb="FF0070C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2"/>
      <color rgb="FFFF0000"/>
      <name val="Times New Roman"/>
      <family val="1"/>
    </font>
    <font>
      <sz val="10"/>
      <color theme="0" tint="-0.499984740745262"/>
      <name val="Arial"/>
      <family val="2"/>
      <charset val="238"/>
    </font>
    <font>
      <sz val="10"/>
      <color theme="1"/>
      <name val="Arial"/>
      <family val="2"/>
      <charset val="238"/>
    </font>
    <font>
      <b/>
      <u val="singleAccounting"/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0"/>
      <name val="Georgia"/>
      <family val="1"/>
      <charset val="238"/>
    </font>
    <font>
      <sz val="10"/>
      <color theme="1"/>
      <name val="Georgia"/>
      <family val="1"/>
      <charset val="238"/>
    </font>
    <font>
      <sz val="10"/>
      <color theme="1"/>
      <name val="Georgia"/>
      <family val="1"/>
    </font>
    <font>
      <b/>
      <sz val="10"/>
      <color theme="1"/>
      <name val="Georgia"/>
      <family val="1"/>
    </font>
    <font>
      <sz val="10"/>
      <name val="Georgia"/>
      <family val="1"/>
    </font>
    <font>
      <sz val="11"/>
      <name val="Georgia"/>
      <family val="1"/>
    </font>
    <font>
      <sz val="11"/>
      <color theme="1"/>
      <name val="Georgia"/>
      <family val="1"/>
    </font>
    <font>
      <b/>
      <u/>
      <sz val="1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rgb="FFFF0000"/>
      <name val="Arial"/>
      <family val="2"/>
    </font>
    <font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4"/>
      <color rgb="FFFF0000"/>
      <name val="Arial"/>
      <family val="2"/>
    </font>
    <font>
      <i/>
      <sz val="14"/>
      <color rgb="FFFF0000"/>
      <name val="Times New Roman"/>
      <family val="1"/>
    </font>
    <font>
      <i/>
      <sz val="14"/>
      <color rgb="FFFF0000"/>
      <name val="Arial"/>
      <family val="2"/>
    </font>
    <font>
      <i/>
      <sz val="11"/>
      <name val="Times New Roman"/>
      <family val="1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</font>
    <font>
      <sz val="14"/>
      <color rgb="FFFF0000"/>
      <name val="Arial"/>
      <family val="2"/>
    </font>
    <font>
      <sz val="14"/>
      <color rgb="FFFF0000"/>
      <name val="Times New Roman"/>
      <family val="1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4"/>
      <color rgb="FFFF0000"/>
      <name val="Times New Roman"/>
      <family val="1"/>
    </font>
    <font>
      <b/>
      <sz val="14"/>
      <color rgb="FFFF0000"/>
      <name val="Arial"/>
      <family val="2"/>
    </font>
    <font>
      <b/>
      <i/>
      <sz val="12"/>
      <name val="Times New Roman"/>
      <family val="1"/>
    </font>
    <font>
      <i/>
      <sz val="10"/>
      <name val="Arial"/>
      <family val="2"/>
    </font>
    <font>
      <i/>
      <sz val="14"/>
      <color rgb="FFFF0000"/>
      <name val="Times New Roman"/>
      <family val="1"/>
    </font>
    <font>
      <i/>
      <sz val="14"/>
      <color rgb="FFFF000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2"/>
      <color rgb="FFFF0000"/>
      <name val="Times New Roman"/>
      <family val="1"/>
      <charset val="238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trike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theme="0" tint="-0.499984740745262"/>
      <name val="Arial"/>
      <family val="2"/>
      <charset val="238"/>
    </font>
    <font>
      <sz val="14"/>
      <color theme="3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1"/>
      <color theme="1"/>
      <name val="Arial"/>
      <family val="2"/>
    </font>
    <font>
      <b/>
      <sz val="18"/>
      <name val="Times New Roman"/>
      <family val="1"/>
      <charset val="238"/>
    </font>
    <font>
      <b/>
      <sz val="20"/>
      <name val="Times New Roman"/>
      <family val="1"/>
    </font>
    <font>
      <sz val="14"/>
      <color theme="1"/>
      <name val="Calibri"/>
      <family val="2"/>
      <scheme val="minor"/>
    </font>
    <font>
      <b/>
      <sz val="15"/>
      <name val="Arial"/>
      <family val="2"/>
    </font>
    <font>
      <b/>
      <sz val="16"/>
      <name val="Arial"/>
      <family val="2"/>
    </font>
    <font>
      <b/>
      <sz val="17"/>
      <name val="Arial"/>
      <family val="2"/>
    </font>
    <font>
      <b/>
      <sz val="11.5"/>
      <name val="Arial"/>
      <family val="2"/>
    </font>
    <font>
      <sz val="11.5"/>
      <name val="Arial"/>
      <family val="2"/>
    </font>
    <font>
      <sz val="11.5"/>
      <color theme="1"/>
      <name val="Calibri"/>
      <family val="2"/>
      <scheme val="minor"/>
    </font>
    <font>
      <i/>
      <sz val="11.5"/>
      <name val="Arial"/>
      <family val="2"/>
    </font>
    <font>
      <sz val="11.5"/>
      <color rgb="FFFF0000"/>
      <name val="Arial"/>
      <family val="2"/>
    </font>
    <font>
      <b/>
      <sz val="11.5"/>
      <color theme="1"/>
      <name val="Arial"/>
      <family val="2"/>
    </font>
    <font>
      <b/>
      <sz val="15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9"/>
        <bgColor indexed="4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3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6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0" borderId="0"/>
    <xf numFmtId="0" fontId="11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9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9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3" fillId="0" borderId="0"/>
    <xf numFmtId="0" fontId="1" fillId="0" borderId="0"/>
    <xf numFmtId="0" fontId="6" fillId="0" borderId="0"/>
    <xf numFmtId="0" fontId="22" fillId="0" borderId="0" applyNumberFormat="0" applyFill="0" applyBorder="0" applyAlignment="0" applyProtection="0"/>
    <xf numFmtId="0" fontId="115" fillId="19" borderId="0" applyNumberFormat="0" applyBorder="0" applyAlignment="0" applyProtection="0"/>
    <xf numFmtId="0" fontId="1" fillId="0" borderId="0"/>
    <xf numFmtId="0" fontId="116" fillId="0" borderId="0"/>
    <xf numFmtId="0" fontId="117" fillId="0" borderId="0" applyNumberFormat="0" applyFill="0" applyBorder="0" applyAlignment="0" applyProtection="0"/>
  </cellStyleXfs>
  <cellXfs count="1467">
    <xf numFmtId="0" fontId="0" fillId="0" borderId="0" xfId="0"/>
    <xf numFmtId="0" fontId="4" fillId="2" borderId="0" xfId="4" applyFont="1" applyFill="1" applyAlignment="1">
      <alignment vertical="center"/>
    </xf>
    <xf numFmtId="165" fontId="6" fillId="2" borderId="0" xfId="1" applyNumberFormat="1" applyFont="1" applyFill="1"/>
    <xf numFmtId="0" fontId="6" fillId="0" borderId="0" xfId="4"/>
    <xf numFmtId="0" fontId="7" fillId="0" borderId="0" xfId="4" applyFont="1"/>
    <xf numFmtId="0" fontId="6" fillId="0" borderId="0" xfId="4" applyAlignment="1">
      <alignment vertical="center"/>
    </xf>
    <xf numFmtId="0" fontId="4" fillId="2" borderId="0" xfId="4" applyFont="1" applyFill="1" applyAlignment="1">
      <alignment horizontal="left" vertical="center"/>
    </xf>
    <xf numFmtId="0" fontId="6" fillId="0" borderId="0" xfId="4" applyAlignment="1">
      <alignment horizontal="left" vertical="center"/>
    </xf>
    <xf numFmtId="166" fontId="7" fillId="0" borderId="0" xfId="4" applyNumberFormat="1" applyFont="1"/>
    <xf numFmtId="43" fontId="6" fillId="0" borderId="0" xfId="4" applyNumberFormat="1" applyAlignment="1">
      <alignment vertical="center"/>
    </xf>
    <xf numFmtId="0" fontId="2" fillId="0" borderId="0" xfId="4" applyFont="1"/>
    <xf numFmtId="0" fontId="5" fillId="0" borderId="0" xfId="4" applyFont="1"/>
    <xf numFmtId="0" fontId="7" fillId="0" borderId="0" xfId="4" applyFont="1" applyAlignment="1">
      <alignment horizontal="left" vertical="center"/>
    </xf>
    <xf numFmtId="0" fontId="8" fillId="2" borderId="0" xfId="4" applyFont="1" applyFill="1" applyAlignment="1">
      <alignment vertical="center"/>
    </xf>
    <xf numFmtId="167" fontId="6" fillId="2" borderId="0" xfId="1" applyNumberFormat="1" applyFont="1" applyFill="1"/>
    <xf numFmtId="0" fontId="12" fillId="2" borderId="0" xfId="4" applyFont="1" applyFill="1" applyAlignment="1">
      <alignment vertical="center"/>
    </xf>
    <xf numFmtId="0" fontId="13" fillId="0" borderId="0" xfId="4" applyFont="1"/>
    <xf numFmtId="167" fontId="9" fillId="2" borderId="0" xfId="4" applyNumberFormat="1" applyFont="1" applyFill="1" applyAlignment="1">
      <alignment horizontal="center"/>
    </xf>
    <xf numFmtId="2" fontId="9" fillId="2" borderId="0" xfId="4" applyNumberFormat="1" applyFont="1" applyFill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3" fillId="0" borderId="0" xfId="0" applyFont="1"/>
    <xf numFmtId="0" fontId="20" fillId="0" borderId="0" xfId="0" applyFont="1"/>
    <xf numFmtId="0" fontId="15" fillId="0" borderId="0" xfId="0" applyFont="1" applyFill="1"/>
    <xf numFmtId="43" fontId="3" fillId="0" borderId="0" xfId="1" applyFont="1" applyFill="1"/>
    <xf numFmtId="0" fontId="23" fillId="0" borderId="0" xfId="0" applyFont="1"/>
    <xf numFmtId="0" fontId="24" fillId="0" borderId="0" xfId="0" applyFont="1"/>
    <xf numFmtId="165" fontId="25" fillId="2" borderId="0" xfId="5" applyNumberFormat="1" applyFont="1" applyFill="1" applyBorder="1" applyAlignment="1" applyProtection="1">
      <alignment horizontal="right" vertical="center" wrapText="1"/>
    </xf>
    <xf numFmtId="0" fontId="26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vertical="center" wrapText="1"/>
    </xf>
    <xf numFmtId="167" fontId="26" fillId="2" borderId="0" xfId="0" applyNumberFormat="1" applyFont="1" applyFill="1" applyAlignment="1">
      <alignment vertical="center"/>
    </xf>
    <xf numFmtId="0" fontId="26" fillId="2" borderId="0" xfId="0" applyFont="1" applyFill="1" applyAlignment="1">
      <alignment vertical="center"/>
    </xf>
    <xf numFmtId="168" fontId="26" fillId="2" borderId="0" xfId="0" applyNumberFormat="1" applyFont="1" applyFill="1" applyBorder="1" applyAlignment="1">
      <alignment vertical="center" wrapText="1"/>
    </xf>
    <xf numFmtId="168" fontId="26" fillId="2" borderId="0" xfId="0" applyNumberFormat="1" applyFont="1" applyFill="1" applyBorder="1" applyAlignment="1">
      <alignment vertical="center"/>
    </xf>
    <xf numFmtId="9" fontId="26" fillId="2" borderId="0" xfId="0" applyNumberFormat="1" applyFont="1" applyFill="1" applyAlignment="1">
      <alignment vertical="center"/>
    </xf>
    <xf numFmtId="168" fontId="28" fillId="2" borderId="0" xfId="0" applyNumberFormat="1" applyFont="1" applyFill="1" applyBorder="1" applyAlignment="1">
      <alignment vertical="center"/>
    </xf>
    <xf numFmtId="0" fontId="26" fillId="2" borderId="1" xfId="0" applyFont="1" applyFill="1" applyBorder="1" applyAlignment="1">
      <alignment horizontal="center" vertical="center"/>
    </xf>
    <xf numFmtId="168" fontId="26" fillId="2" borderId="4" xfId="0" applyNumberFormat="1" applyFont="1" applyFill="1" applyBorder="1" applyAlignment="1">
      <alignment vertical="center" wrapText="1"/>
    </xf>
    <xf numFmtId="165" fontId="26" fillId="2" borderId="0" xfId="0" applyNumberFormat="1" applyFont="1" applyFill="1" applyAlignment="1">
      <alignment vertical="center"/>
    </xf>
    <xf numFmtId="43" fontId="26" fillId="2" borderId="0" xfId="0" applyNumberFormat="1" applyFont="1" applyFill="1" applyAlignment="1">
      <alignment vertical="center"/>
    </xf>
    <xf numFmtId="168" fontId="26" fillId="2" borderId="0" xfId="0" applyNumberFormat="1" applyFont="1" applyFill="1" applyAlignment="1">
      <alignment horizontal="center" vertical="center"/>
    </xf>
    <xf numFmtId="168" fontId="26" fillId="2" borderId="0" xfId="0" applyNumberFormat="1" applyFont="1" applyFill="1" applyAlignment="1">
      <alignment vertical="center" wrapText="1"/>
    </xf>
    <xf numFmtId="168" fontId="26" fillId="2" borderId="0" xfId="0" applyNumberFormat="1" applyFont="1" applyFill="1" applyAlignment="1">
      <alignment vertical="center"/>
    </xf>
    <xf numFmtId="168" fontId="25" fillId="2" borderId="0" xfId="1" applyNumberFormat="1" applyFont="1" applyFill="1" applyAlignment="1">
      <alignment horizontal="right"/>
    </xf>
    <xf numFmtId="168" fontId="28" fillId="2" borderId="0" xfId="1" applyNumberFormat="1" applyFont="1" applyFill="1" applyAlignment="1">
      <alignment horizontal="right"/>
    </xf>
    <xf numFmtId="0" fontId="26" fillId="0" borderId="0" xfId="0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8" fillId="0" borderId="0" xfId="4" applyFont="1" applyFill="1"/>
    <xf numFmtId="165" fontId="8" fillId="0" borderId="0" xfId="1" applyNumberFormat="1" applyFont="1" applyFill="1"/>
    <xf numFmtId="167" fontId="8" fillId="0" borderId="0" xfId="1" applyNumberFormat="1" applyFont="1" applyFill="1"/>
    <xf numFmtId="0" fontId="6" fillId="0" borderId="0" xfId="4" applyFill="1" applyAlignment="1">
      <alignment vertical="center"/>
    </xf>
    <xf numFmtId="0" fontId="6" fillId="0" borderId="0" xfId="4" applyFill="1"/>
    <xf numFmtId="165" fontId="6" fillId="0" borderId="0" xfId="1" applyNumberFormat="1" applyFont="1" applyFill="1"/>
    <xf numFmtId="167" fontId="6" fillId="0" borderId="0" xfId="1" applyNumberFormat="1" applyFont="1" applyFill="1"/>
    <xf numFmtId="165" fontId="6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horizontal="left" vertical="center"/>
    </xf>
    <xf numFmtId="165" fontId="2" fillId="0" borderId="0" xfId="1" applyNumberFormat="1" applyFont="1" applyFill="1"/>
    <xf numFmtId="165" fontId="13" fillId="0" borderId="0" xfId="1" applyNumberFormat="1" applyFont="1" applyFill="1"/>
    <xf numFmtId="165" fontId="5" fillId="0" borderId="0" xfId="1" applyNumberFormat="1" applyFont="1" applyFill="1"/>
    <xf numFmtId="168" fontId="25" fillId="0" borderId="0" xfId="1" applyNumberFormat="1" applyFont="1" applyFill="1" applyAlignment="1">
      <alignment horizontal="right"/>
    </xf>
    <xf numFmtId="168" fontId="28" fillId="0" borderId="0" xfId="1" applyNumberFormat="1" applyFont="1" applyFill="1" applyAlignment="1">
      <alignment horizontal="right"/>
    </xf>
    <xf numFmtId="0" fontId="16" fillId="0" borderId="0" xfId="0" applyFont="1" applyFill="1"/>
    <xf numFmtId="0" fontId="17" fillId="0" borderId="0" xfId="0" applyFont="1" applyFill="1"/>
    <xf numFmtId="0" fontId="3" fillId="0" borderId="0" xfId="0" applyFont="1" applyFill="1"/>
    <xf numFmtId="0" fontId="14" fillId="11" borderId="4" xfId="0" applyFont="1" applyFill="1" applyBorder="1" applyAlignment="1">
      <alignment horizontal="center" vertical="top" wrapText="1"/>
    </xf>
    <xf numFmtId="0" fontId="14" fillId="8" borderId="4" xfId="0" applyFont="1" applyFill="1" applyBorder="1" applyAlignment="1">
      <alignment horizontal="center" vertical="top" wrapText="1"/>
    </xf>
    <xf numFmtId="43" fontId="14" fillId="8" borderId="4" xfId="1" applyFont="1" applyFill="1" applyBorder="1" applyAlignment="1">
      <alignment horizontal="center" vertical="top" wrapText="1"/>
    </xf>
    <xf numFmtId="0" fontId="15" fillId="2" borderId="0" xfId="0" applyFont="1" applyFill="1" applyBorder="1"/>
    <xf numFmtId="0" fontId="16" fillId="2" borderId="0" xfId="0" applyFont="1" applyFill="1" applyBorder="1"/>
    <xf numFmtId="0" fontId="17" fillId="2" borderId="0" xfId="0" applyFont="1" applyFill="1" applyBorder="1"/>
    <xf numFmtId="0" fontId="3" fillId="2" borderId="0" xfId="0" applyFont="1" applyFill="1" applyBorder="1"/>
    <xf numFmtId="0" fontId="14" fillId="11" borderId="1" xfId="0" applyFont="1" applyFill="1" applyBorder="1" applyAlignment="1">
      <alignment horizontal="center" vertical="top" wrapText="1"/>
    </xf>
    <xf numFmtId="0" fontId="14" fillId="11" borderId="5" xfId="0" applyFont="1" applyFill="1" applyBorder="1" applyAlignment="1">
      <alignment horizontal="center" vertical="top" wrapText="1"/>
    </xf>
    <xf numFmtId="0" fontId="19" fillId="2" borderId="0" xfId="0" applyFont="1" applyFill="1" applyBorder="1"/>
    <xf numFmtId="43" fontId="14" fillId="2" borderId="0" xfId="1" applyFont="1" applyFill="1" applyBorder="1"/>
    <xf numFmtId="43" fontId="15" fillId="2" borderId="0" xfId="1" applyFont="1" applyFill="1" applyBorder="1"/>
    <xf numFmtId="0" fontId="14" fillId="2" borderId="0" xfId="0" applyFont="1" applyFill="1" applyBorder="1"/>
    <xf numFmtId="0" fontId="3" fillId="2" borderId="0" xfId="0" applyFont="1" applyFill="1" applyBorder="1" applyAlignment="1">
      <alignment horizontal="center"/>
    </xf>
    <xf numFmtId="9" fontId="20" fillId="2" borderId="0" xfId="0" applyNumberFormat="1" applyFont="1" applyFill="1" applyBorder="1"/>
    <xf numFmtId="43" fontId="3" fillId="2" borderId="0" xfId="1" applyFont="1" applyFill="1" applyBorder="1"/>
    <xf numFmtId="0" fontId="20" fillId="2" borderId="0" xfId="0" applyFont="1" applyFill="1" applyBorder="1" applyAlignment="1">
      <alignment horizontal="center"/>
    </xf>
    <xf numFmtId="0" fontId="19" fillId="2" borderId="23" xfId="0" applyFont="1" applyFill="1" applyBorder="1"/>
    <xf numFmtId="0" fontId="15" fillId="2" borderId="23" xfId="0" applyFont="1" applyFill="1" applyBorder="1"/>
    <xf numFmtId="0" fontId="14" fillId="2" borderId="23" xfId="0" applyFont="1" applyFill="1" applyBorder="1"/>
    <xf numFmtId="0" fontId="3" fillId="2" borderId="23" xfId="0" applyFont="1" applyFill="1" applyBorder="1"/>
    <xf numFmtId="0" fontId="21" fillId="2" borderId="0" xfId="0" applyFont="1" applyFill="1" applyBorder="1"/>
    <xf numFmtId="43" fontId="14" fillId="2" borderId="0" xfId="1" applyNumberFormat="1" applyFont="1" applyFill="1" applyBorder="1"/>
    <xf numFmtId="0" fontId="14" fillId="2" borderId="0" xfId="0" applyFont="1" applyFill="1" applyBorder="1" applyAlignment="1">
      <alignment horizontal="center"/>
    </xf>
    <xf numFmtId="0" fontId="20" fillId="2" borderId="0" xfId="0" applyFont="1" applyFill="1" applyBorder="1"/>
    <xf numFmtId="9" fontId="3" fillId="2" borderId="0" xfId="0" applyNumberFormat="1" applyFont="1" applyFill="1" applyBorder="1"/>
    <xf numFmtId="43" fontId="3" fillId="2" borderId="0" xfId="0" applyNumberFormat="1" applyFont="1" applyFill="1" applyBorder="1"/>
    <xf numFmtId="43" fontId="3" fillId="2" borderId="0" xfId="1" applyNumberFormat="1" applyFont="1" applyFill="1" applyBorder="1"/>
    <xf numFmtId="9" fontId="20" fillId="2" borderId="0" xfId="2" applyFont="1" applyFill="1" applyBorder="1"/>
    <xf numFmtId="9" fontId="3" fillId="2" borderId="0" xfId="2" applyFont="1" applyFill="1" applyBorder="1"/>
    <xf numFmtId="0" fontId="23" fillId="2" borderId="0" xfId="0" applyFont="1" applyFill="1" applyBorder="1"/>
    <xf numFmtId="0" fontId="3" fillId="2" borderId="23" xfId="0" applyFont="1" applyFill="1" applyBorder="1" applyAlignment="1">
      <alignment horizontal="center"/>
    </xf>
    <xf numFmtId="0" fontId="29" fillId="0" borderId="4" xfId="0" applyFont="1" applyFill="1" applyBorder="1" applyAlignment="1">
      <alignment horizontal="center" vertical="center"/>
    </xf>
    <xf numFmtId="168" fontId="26" fillId="2" borderId="10" xfId="0" applyNumberFormat="1" applyFont="1" applyFill="1" applyBorder="1" applyAlignment="1">
      <alignment horizontal="center" vertical="center"/>
    </xf>
    <xf numFmtId="168" fontId="26" fillId="2" borderId="6" xfId="0" applyNumberFormat="1" applyFont="1" applyFill="1" applyBorder="1" applyAlignment="1">
      <alignment vertical="center" wrapText="1"/>
    </xf>
    <xf numFmtId="168" fontId="26" fillId="2" borderId="6" xfId="0" applyNumberFormat="1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43" fontId="14" fillId="11" borderId="22" xfId="1" applyFont="1" applyFill="1" applyBorder="1" applyAlignment="1">
      <alignment horizontal="center" vertical="top" wrapText="1"/>
    </xf>
    <xf numFmtId="0" fontId="31" fillId="2" borderId="0" xfId="0" applyFont="1" applyFill="1" applyBorder="1" applyAlignment="1">
      <alignment horizontal="center"/>
    </xf>
    <xf numFmtId="43" fontId="31" fillId="5" borderId="0" xfId="1" applyNumberFormat="1" applyFont="1" applyFill="1" applyBorder="1"/>
    <xf numFmtId="0" fontId="24" fillId="2" borderId="0" xfId="0" applyFont="1" applyFill="1" applyBorder="1"/>
    <xf numFmtId="0" fontId="19" fillId="12" borderId="0" xfId="0" applyFont="1" applyFill="1" applyBorder="1"/>
    <xf numFmtId="0" fontId="19" fillId="9" borderId="0" xfId="0" applyFont="1" applyFill="1" applyBorder="1"/>
    <xf numFmtId="0" fontId="16" fillId="13" borderId="0" xfId="0" applyFont="1" applyFill="1" applyBorder="1"/>
    <xf numFmtId="0" fontId="16" fillId="12" borderId="0" xfId="0" applyFont="1" applyFill="1" applyBorder="1"/>
    <xf numFmtId="43" fontId="14" fillId="12" borderId="0" xfId="1" applyFont="1" applyFill="1" applyBorder="1"/>
    <xf numFmtId="0" fontId="14" fillId="12" borderId="0" xfId="0" applyFont="1" applyFill="1" applyBorder="1"/>
    <xf numFmtId="43" fontId="14" fillId="12" borderId="0" xfId="1" applyNumberFormat="1" applyFont="1" applyFill="1" applyBorder="1"/>
    <xf numFmtId="0" fontId="14" fillId="12" borderId="0" xfId="0" applyFont="1" applyFill="1" applyBorder="1" applyAlignment="1">
      <alignment horizontal="center"/>
    </xf>
    <xf numFmtId="0" fontId="32" fillId="0" borderId="0" xfId="0" applyFont="1" applyFill="1"/>
    <xf numFmtId="43" fontId="32" fillId="0" borderId="0" xfId="1" applyNumberFormat="1" applyFont="1" applyFill="1"/>
    <xf numFmtId="0" fontId="32" fillId="0" borderId="0" xfId="0" applyFont="1" applyFill="1" applyAlignment="1">
      <alignment horizontal="center"/>
    </xf>
    <xf numFmtId="9" fontId="20" fillId="0" borderId="0" xfId="2" applyFont="1" applyFill="1"/>
    <xf numFmtId="0" fontId="32" fillId="0" borderId="0" xfId="0" applyFont="1"/>
    <xf numFmtId="43" fontId="32" fillId="0" borderId="0" xfId="1" applyFont="1"/>
    <xf numFmtId="0" fontId="32" fillId="2" borderId="27" xfId="0" applyFont="1" applyFill="1" applyBorder="1"/>
    <xf numFmtId="0" fontId="32" fillId="2" borderId="0" xfId="0" applyFont="1" applyFill="1" applyBorder="1"/>
    <xf numFmtId="43" fontId="32" fillId="2" borderId="0" xfId="1" applyNumberFormat="1" applyFont="1" applyFill="1" applyBorder="1"/>
    <xf numFmtId="0" fontId="32" fillId="2" borderId="0" xfId="0" applyFont="1" applyFill="1" applyBorder="1" applyAlignment="1">
      <alignment horizontal="center"/>
    </xf>
    <xf numFmtId="0" fontId="32" fillId="2" borderId="24" xfId="0" applyFont="1" applyFill="1" applyBorder="1"/>
    <xf numFmtId="43" fontId="33" fillId="13" borderId="24" xfId="0" applyNumberFormat="1" applyFont="1" applyFill="1" applyBorder="1"/>
    <xf numFmtId="43" fontId="33" fillId="9" borderId="24" xfId="0" applyNumberFormat="1" applyFont="1" applyFill="1" applyBorder="1"/>
    <xf numFmtId="43" fontId="32" fillId="2" borderId="0" xfId="1" applyFont="1" applyFill="1" applyBorder="1"/>
    <xf numFmtId="43" fontId="32" fillId="2" borderId="0" xfId="0" applyNumberFormat="1" applyFont="1" applyFill="1" applyBorder="1"/>
    <xf numFmtId="43" fontId="32" fillId="2" borderId="24" xfId="0" applyNumberFormat="1" applyFont="1" applyFill="1" applyBorder="1"/>
    <xf numFmtId="9" fontId="32" fillId="2" borderId="0" xfId="0" applyNumberFormat="1" applyFont="1" applyFill="1" applyBorder="1"/>
    <xf numFmtId="43" fontId="32" fillId="5" borderId="0" xfId="1" applyNumberFormat="1" applyFont="1" applyFill="1" applyBorder="1"/>
    <xf numFmtId="0" fontId="34" fillId="2" borderId="0" xfId="1232" applyFont="1" applyFill="1" applyBorder="1"/>
    <xf numFmtId="0" fontId="20" fillId="2" borderId="27" xfId="0" applyFont="1" applyFill="1" applyBorder="1"/>
    <xf numFmtId="0" fontId="3" fillId="2" borderId="24" xfId="0" applyFont="1" applyFill="1" applyBorder="1"/>
    <xf numFmtId="43" fontId="3" fillId="2" borderId="24" xfId="0" applyNumberFormat="1" applyFont="1" applyFill="1" applyBorder="1"/>
    <xf numFmtId="43" fontId="18" fillId="12" borderId="24" xfId="0" applyNumberFormat="1" applyFont="1" applyFill="1" applyBorder="1"/>
    <xf numFmtId="0" fontId="32" fillId="2" borderId="25" xfId="0" applyFont="1" applyFill="1" applyBorder="1"/>
    <xf numFmtId="43" fontId="3" fillId="2" borderId="23" xfId="1" applyFont="1" applyFill="1" applyBorder="1"/>
    <xf numFmtId="9" fontId="3" fillId="2" borderId="23" xfId="2" applyFont="1" applyFill="1" applyBorder="1"/>
    <xf numFmtId="43" fontId="3" fillId="2" borderId="23" xfId="0" applyNumberFormat="1" applyFont="1" applyFill="1" applyBorder="1"/>
    <xf numFmtId="43" fontId="3" fillId="2" borderId="26" xfId="0" applyNumberFormat="1" applyFont="1" applyFill="1" applyBorder="1"/>
    <xf numFmtId="43" fontId="32" fillId="0" borderId="0" xfId="1" applyNumberFormat="1" applyFont="1"/>
    <xf numFmtId="0" fontId="32" fillId="0" borderId="0" xfId="0" applyFont="1" applyAlignment="1">
      <alignment horizontal="center"/>
    </xf>
    <xf numFmtId="9" fontId="20" fillId="0" borderId="0" xfId="2" applyFont="1"/>
    <xf numFmtId="0" fontId="35" fillId="2" borderId="27" xfId="0" applyFont="1" applyFill="1" applyBorder="1"/>
    <xf numFmtId="43" fontId="14" fillId="9" borderId="0" xfId="1" applyNumberFormat="1" applyFont="1" applyFill="1" applyBorder="1"/>
    <xf numFmtId="0" fontId="14" fillId="9" borderId="0" xfId="0" applyFont="1" applyFill="1" applyBorder="1" applyAlignment="1">
      <alignment horizontal="center"/>
    </xf>
    <xf numFmtId="0" fontId="35" fillId="9" borderId="0" xfId="0" applyFont="1" applyFill="1" applyBorder="1"/>
    <xf numFmtId="0" fontId="14" fillId="9" borderId="0" xfId="0" applyFont="1" applyFill="1" applyBorder="1"/>
    <xf numFmtId="43" fontId="35" fillId="9" borderId="0" xfId="1" applyFont="1" applyFill="1" applyBorder="1"/>
    <xf numFmtId="9" fontId="24" fillId="9" borderId="0" xfId="2" applyFont="1" applyFill="1" applyBorder="1"/>
    <xf numFmtId="43" fontId="35" fillId="9" borderId="0" xfId="0" applyNumberFormat="1" applyFont="1" applyFill="1" applyBorder="1"/>
    <xf numFmtId="0" fontId="35" fillId="0" borderId="0" xfId="0" applyFont="1"/>
    <xf numFmtId="0" fontId="19" fillId="13" borderId="0" xfId="0" applyFont="1" applyFill="1" applyBorder="1"/>
    <xf numFmtId="0" fontId="21" fillId="13" borderId="0" xfId="0" applyFont="1" applyFill="1" applyBorder="1"/>
    <xf numFmtId="43" fontId="35" fillId="13" borderId="0" xfId="1" applyNumberFormat="1" applyFont="1" applyFill="1" applyBorder="1"/>
    <xf numFmtId="0" fontId="35" fillId="13" borderId="0" xfId="0" applyFont="1" applyFill="1" applyBorder="1" applyAlignment="1">
      <alignment horizontal="center"/>
    </xf>
    <xf numFmtId="0" fontId="35" fillId="13" borderId="0" xfId="0" applyFont="1" applyFill="1" applyBorder="1"/>
    <xf numFmtId="0" fontId="14" fillId="13" borderId="0" xfId="0" applyFont="1" applyFill="1" applyBorder="1"/>
    <xf numFmtId="43" fontId="14" fillId="13" borderId="0" xfId="1" applyFont="1" applyFill="1" applyBorder="1"/>
    <xf numFmtId="9" fontId="24" fillId="13" borderId="0" xfId="2" applyFont="1" applyFill="1" applyBorder="1"/>
    <xf numFmtId="0" fontId="21" fillId="9" borderId="0" xfId="0" applyFont="1" applyFill="1" applyBorder="1"/>
    <xf numFmtId="43" fontId="35" fillId="9" borderId="0" xfId="1" applyNumberFormat="1" applyFont="1" applyFill="1" applyBorder="1"/>
    <xf numFmtId="0" fontId="35" fillId="9" borderId="0" xfId="0" applyFont="1" applyFill="1" applyBorder="1" applyAlignment="1">
      <alignment horizontal="center"/>
    </xf>
    <xf numFmtId="43" fontId="14" fillId="9" borderId="0" xfId="1" applyFont="1" applyFill="1" applyBorder="1"/>
    <xf numFmtId="0" fontId="21" fillId="12" borderId="0" xfId="0" applyFont="1" applyFill="1" applyBorder="1"/>
    <xf numFmtId="43" fontId="35" fillId="12" borderId="0" xfId="1" applyNumberFormat="1" applyFont="1" applyFill="1" applyBorder="1"/>
    <xf numFmtId="0" fontId="35" fillId="12" borderId="0" xfId="0" applyFont="1" applyFill="1" applyBorder="1" applyAlignment="1">
      <alignment horizontal="center"/>
    </xf>
    <xf numFmtId="0" fontId="35" fillId="12" borderId="0" xfId="0" applyFont="1" applyFill="1" applyBorder="1"/>
    <xf numFmtId="9" fontId="24" fillId="12" borderId="0" xfId="2" applyFont="1" applyFill="1" applyBorder="1"/>
    <xf numFmtId="43" fontId="35" fillId="13" borderId="0" xfId="1" applyFont="1" applyFill="1" applyBorder="1"/>
    <xf numFmtId="0" fontId="35" fillId="0" borderId="0" xfId="0" applyFont="1" applyFill="1"/>
    <xf numFmtId="0" fontId="20" fillId="0" borderId="0" xfId="0" applyFont="1" applyFill="1"/>
    <xf numFmtId="0" fontId="24" fillId="8" borderId="4" xfId="0" applyFont="1" applyFill="1" applyBorder="1" applyAlignment="1">
      <alignment horizontal="center" vertical="top" wrapText="1"/>
    </xf>
    <xf numFmtId="0" fontId="24" fillId="12" borderId="0" xfId="0" applyFont="1" applyFill="1" applyBorder="1"/>
    <xf numFmtId="0" fontId="24" fillId="13" borderId="0" xfId="0" applyFont="1" applyFill="1" applyBorder="1"/>
    <xf numFmtId="0" fontId="24" fillId="9" borderId="0" xfId="0" applyFont="1" applyFill="1" applyBorder="1"/>
    <xf numFmtId="43" fontId="18" fillId="9" borderId="24" xfId="0" applyNumberFormat="1" applyFont="1" applyFill="1" applyBorder="1"/>
    <xf numFmtId="0" fontId="19" fillId="2" borderId="0" xfId="0" applyFont="1" applyFill="1"/>
    <xf numFmtId="0" fontId="35" fillId="2" borderId="0" xfId="0" applyFont="1" applyFill="1"/>
    <xf numFmtId="43" fontId="35" fillId="13" borderId="24" xfId="0" applyNumberFormat="1" applyFont="1" applyFill="1" applyBorder="1"/>
    <xf numFmtId="43" fontId="32" fillId="0" borderId="0" xfId="0" applyNumberFormat="1" applyFont="1"/>
    <xf numFmtId="0" fontId="20" fillId="2" borderId="23" xfId="0" applyFont="1" applyFill="1" applyBorder="1"/>
    <xf numFmtId="0" fontId="30" fillId="0" borderId="0" xfId="4" applyFont="1" applyFill="1" applyAlignment="1">
      <alignment vertical="center"/>
    </xf>
    <xf numFmtId="0" fontId="30" fillId="0" borderId="0" xfId="4" applyFont="1" applyFill="1"/>
    <xf numFmtId="0" fontId="6" fillId="0" borderId="0" xfId="4" applyFont="1" applyAlignment="1">
      <alignment vertical="center"/>
    </xf>
    <xf numFmtId="2" fontId="37" fillId="2" borderId="0" xfId="1" applyNumberFormat="1" applyFont="1" applyFill="1" applyAlignment="1">
      <alignment horizontal="center"/>
    </xf>
    <xf numFmtId="2" fontId="36" fillId="2" borderId="0" xfId="1" applyNumberFormat="1" applyFont="1" applyFill="1" applyAlignment="1">
      <alignment horizontal="center"/>
    </xf>
    <xf numFmtId="167" fontId="36" fillId="2" borderId="0" xfId="1" applyNumberFormat="1" applyFont="1" applyFill="1" applyAlignment="1">
      <alignment horizontal="center" vertical="center"/>
    </xf>
    <xf numFmtId="2" fontId="37" fillId="2" borderId="0" xfId="4" applyNumberFormat="1" applyFont="1" applyFill="1" applyAlignment="1">
      <alignment vertical="center"/>
    </xf>
    <xf numFmtId="2" fontId="37" fillId="2" borderId="0" xfId="4" applyNumberFormat="1" applyFont="1" applyFill="1" applyAlignment="1"/>
    <xf numFmtId="2" fontId="37" fillId="2" borderId="0" xfId="1" applyNumberFormat="1" applyFont="1" applyFill="1" applyAlignment="1"/>
    <xf numFmtId="2" fontId="38" fillId="2" borderId="0" xfId="1" applyNumberFormat="1" applyFont="1" applyFill="1" applyAlignment="1">
      <alignment horizontal="center"/>
    </xf>
    <xf numFmtId="167" fontId="37" fillId="2" borderId="0" xfId="1" applyNumberFormat="1" applyFont="1" applyFill="1" applyAlignment="1"/>
    <xf numFmtId="2" fontId="36" fillId="2" borderId="0" xfId="1" applyNumberFormat="1" applyFont="1" applyFill="1"/>
    <xf numFmtId="0" fontId="37" fillId="2" borderId="0" xfId="4" applyFont="1" applyFill="1" applyAlignment="1">
      <alignment horizontal="center" vertical="center"/>
    </xf>
    <xf numFmtId="165" fontId="36" fillId="0" borderId="0" xfId="1" applyNumberFormat="1" applyFont="1" applyFill="1" applyAlignment="1">
      <alignment horizontal="center"/>
    </xf>
    <xf numFmtId="0" fontId="36" fillId="0" borderId="0" xfId="4" applyFont="1" applyFill="1" applyAlignment="1">
      <alignment horizontal="center"/>
    </xf>
    <xf numFmtId="0" fontId="36" fillId="0" borderId="0" xfId="4" applyFont="1" applyAlignment="1">
      <alignment horizontal="center"/>
    </xf>
    <xf numFmtId="0" fontId="37" fillId="2" borderId="0" xfId="4" applyFont="1" applyFill="1" applyAlignment="1">
      <alignment vertical="center"/>
    </xf>
    <xf numFmtId="165" fontId="36" fillId="0" borderId="0" xfId="1" applyNumberFormat="1" applyFont="1" applyFill="1"/>
    <xf numFmtId="0" fontId="36" fillId="0" borderId="0" xfId="4" applyFont="1" applyFill="1"/>
    <xf numFmtId="0" fontId="36" fillId="0" borderId="0" xfId="4" applyFont="1"/>
    <xf numFmtId="165" fontId="36" fillId="2" borderId="0" xfId="1" applyNumberFormat="1" applyFont="1" applyFill="1"/>
    <xf numFmtId="167" fontId="36" fillId="2" borderId="0" xfId="1" applyNumberFormat="1" applyFont="1" applyFill="1"/>
    <xf numFmtId="0" fontId="41" fillId="0" borderId="0" xfId="4" applyFont="1" applyFill="1"/>
    <xf numFmtId="0" fontId="42" fillId="0" borderId="0" xfId="4" applyFont="1" applyFill="1"/>
    <xf numFmtId="0" fontId="41" fillId="0" borderId="0" xfId="4" applyFont="1" applyFill="1" applyAlignment="1">
      <alignment vertical="center"/>
    </xf>
    <xf numFmtId="43" fontId="32" fillId="0" borderId="0" xfId="1" applyNumberFormat="1" applyFont="1" applyFill="1" applyBorder="1"/>
    <xf numFmtId="43" fontId="32" fillId="5" borderId="0" xfId="0" applyNumberFormat="1" applyFont="1" applyFill="1" applyBorder="1"/>
    <xf numFmtId="43" fontId="3" fillId="5" borderId="0" xfId="0" applyNumberFormat="1" applyFont="1" applyFill="1" applyBorder="1"/>
    <xf numFmtId="43" fontId="3" fillId="5" borderId="0" xfId="1" applyNumberFormat="1" applyFont="1" applyFill="1" applyBorder="1"/>
    <xf numFmtId="43" fontId="20" fillId="5" borderId="0" xfId="1" applyNumberFormat="1" applyFont="1" applyFill="1" applyBorder="1"/>
    <xf numFmtId="43" fontId="3" fillId="0" borderId="0" xfId="1" applyNumberFormat="1" applyFont="1" applyFill="1" applyBorder="1"/>
    <xf numFmtId="43" fontId="32" fillId="5" borderId="0" xfId="1" applyFont="1" applyFill="1" applyBorder="1"/>
    <xf numFmtId="43" fontId="32" fillId="0" borderId="0" xfId="1" applyFont="1" applyFill="1" applyBorder="1"/>
    <xf numFmtId="43" fontId="32" fillId="0" borderId="0" xfId="0" applyNumberFormat="1" applyFont="1" applyFill="1" applyBorder="1"/>
    <xf numFmtId="43" fontId="14" fillId="5" borderId="0" xfId="1" applyNumberFormat="1" applyFont="1" applyFill="1" applyBorder="1"/>
    <xf numFmtId="43" fontId="3" fillId="5" borderId="23" xfId="1" applyNumberFormat="1" applyFont="1" applyFill="1" applyBorder="1"/>
    <xf numFmtId="43" fontId="3" fillId="0" borderId="0" xfId="0" applyNumberFormat="1" applyFont="1" applyFill="1" applyBorder="1"/>
    <xf numFmtId="0" fontId="43" fillId="14" borderId="4" xfId="0" applyFont="1" applyFill="1" applyBorder="1" applyAlignment="1">
      <alignment horizontal="center" vertical="center" wrapText="1"/>
    </xf>
    <xf numFmtId="0" fontId="45" fillId="0" borderId="0" xfId="0" applyFont="1"/>
    <xf numFmtId="0" fontId="45" fillId="0" borderId="0" xfId="0" applyFont="1" applyFill="1" applyBorder="1" applyAlignment="1">
      <alignment horizontal="center" vertical="center" wrapText="1"/>
    </xf>
    <xf numFmtId="0" fontId="45" fillId="0" borderId="0" xfId="0" applyFont="1" applyFill="1"/>
    <xf numFmtId="0" fontId="45" fillId="0" borderId="0" xfId="0" applyFont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45" fillId="0" borderId="0" xfId="0" applyFont="1" applyBorder="1" applyAlignment="1">
      <alignment horizontal="left" vertical="top" wrapText="1"/>
    </xf>
    <xf numFmtId="0" fontId="45" fillId="0" borderId="0" xfId="0" applyFont="1" applyBorder="1" applyAlignment="1">
      <alignment horizontal="center" vertical="center"/>
    </xf>
    <xf numFmtId="4" fontId="45" fillId="0" borderId="0" xfId="0" applyNumberFormat="1" applyFont="1" applyBorder="1" applyAlignment="1">
      <alignment horizontal="center" vertical="center"/>
    </xf>
    <xf numFmtId="0" fontId="45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left" vertical="top" wrapText="1"/>
    </xf>
    <xf numFmtId="0" fontId="46" fillId="6" borderId="0" xfId="0" applyFont="1" applyFill="1" applyBorder="1" applyAlignment="1">
      <alignment vertical="center" wrapText="1"/>
    </xf>
    <xf numFmtId="0" fontId="45" fillId="6" borderId="0" xfId="0" applyFont="1" applyFill="1" applyBorder="1" applyAlignment="1">
      <alignment horizontal="center" vertical="center" wrapText="1"/>
    </xf>
    <xf numFmtId="0" fontId="45" fillId="6" borderId="0" xfId="0" applyFont="1" applyFill="1" applyBorder="1" applyAlignment="1">
      <alignment horizontal="left" vertical="center"/>
    </xf>
    <xf numFmtId="0" fontId="45" fillId="6" borderId="0" xfId="0" applyFont="1" applyFill="1"/>
    <xf numFmtId="0" fontId="45" fillId="11" borderId="0" xfId="0" applyFont="1" applyFill="1" applyBorder="1" applyAlignment="1">
      <alignment horizontal="left" vertical="center"/>
    </xf>
    <xf numFmtId="0" fontId="45" fillId="11" borderId="0" xfId="0" applyFont="1" applyFill="1"/>
    <xf numFmtId="0" fontId="43" fillId="15" borderId="0" xfId="0" applyFont="1" applyFill="1" applyBorder="1" applyAlignment="1">
      <alignment horizontal="left" vertical="center"/>
    </xf>
    <xf numFmtId="0" fontId="45" fillId="15" borderId="0" xfId="0" applyFont="1" applyFill="1" applyBorder="1"/>
    <xf numFmtId="0" fontId="45" fillId="15" borderId="0" xfId="0" applyFont="1" applyFill="1" applyBorder="1" applyAlignment="1">
      <alignment horizontal="left" vertical="center"/>
    </xf>
    <xf numFmtId="0" fontId="45" fillId="15" borderId="0" xfId="0" applyFont="1" applyFill="1"/>
    <xf numFmtId="0" fontId="48" fillId="0" borderId="0" xfId="476" applyFont="1" applyFill="1" applyBorder="1" applyAlignment="1">
      <alignment horizontal="center" vertical="center" wrapText="1"/>
    </xf>
    <xf numFmtId="0" fontId="48" fillId="0" borderId="0" xfId="476" applyFont="1" applyFill="1" applyBorder="1" applyAlignment="1">
      <alignment horizontal="left" vertical="center" wrapText="1"/>
    </xf>
    <xf numFmtId="43" fontId="48" fillId="0" borderId="0" xfId="5" applyFont="1" applyFill="1" applyBorder="1" applyAlignment="1">
      <alignment horizontal="center" vertical="center" wrapText="1"/>
    </xf>
    <xf numFmtId="0" fontId="46" fillId="0" borderId="0" xfId="955" applyFont="1" applyFill="1" applyBorder="1" applyAlignment="1">
      <alignment vertical="center"/>
    </xf>
    <xf numFmtId="0" fontId="46" fillId="0" borderId="0" xfId="955" applyFont="1" applyFill="1" applyBorder="1" applyAlignment="1">
      <alignment horizontal="left" vertical="center"/>
    </xf>
    <xf numFmtId="43" fontId="46" fillId="0" borderId="0" xfId="5" applyFont="1" applyFill="1" applyBorder="1" applyAlignment="1">
      <alignment horizontal="center" vertical="center"/>
    </xf>
    <xf numFmtId="0" fontId="46" fillId="0" borderId="0" xfId="955" applyFont="1" applyFill="1" applyBorder="1"/>
    <xf numFmtId="0" fontId="46" fillId="0" borderId="0" xfId="955" applyFont="1" applyFill="1" applyBorder="1" applyAlignment="1">
      <alignment horizontal="left" vertical="distributed"/>
    </xf>
    <xf numFmtId="0" fontId="46" fillId="0" borderId="0" xfId="955" applyFont="1" applyFill="1" applyBorder="1" applyAlignment="1">
      <alignment horizontal="center"/>
    </xf>
    <xf numFmtId="0" fontId="46" fillId="0" borderId="0" xfId="0" applyFont="1" applyFill="1" applyBorder="1" applyAlignment="1">
      <alignment vertical="center"/>
    </xf>
    <xf numFmtId="0" fontId="45" fillId="0" borderId="0" xfId="0" applyFont="1" applyAlignment="1"/>
    <xf numFmtId="0" fontId="45" fillId="0" borderId="0" xfId="0" applyFont="1" applyFill="1" applyBorder="1" applyAlignment="1"/>
    <xf numFmtId="0" fontId="43" fillId="15" borderId="0" xfId="0" applyFont="1" applyFill="1" applyBorder="1" applyAlignment="1">
      <alignment horizontal="center"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horizontal="center" vertical="center"/>
    </xf>
    <xf numFmtId="43" fontId="46" fillId="0" borderId="0" xfId="5" applyFont="1" applyFill="1" applyAlignment="1">
      <alignment horizontal="center" vertical="center"/>
    </xf>
    <xf numFmtId="0" fontId="46" fillId="0" borderId="0" xfId="0" applyFont="1"/>
    <xf numFmtId="0" fontId="43" fillId="14" borderId="4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left" vertical="top"/>
    </xf>
    <xf numFmtId="0" fontId="46" fillId="0" borderId="0" xfId="0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left" vertical="top"/>
    </xf>
    <xf numFmtId="0" fontId="45" fillId="6" borderId="0" xfId="0" applyFont="1" applyFill="1" applyBorder="1" applyAlignment="1">
      <alignment horizontal="center" vertical="center"/>
    </xf>
    <xf numFmtId="0" fontId="43" fillId="11" borderId="0" xfId="0" applyFont="1" applyFill="1" applyBorder="1" applyAlignment="1">
      <alignment horizontal="center" vertical="center"/>
    </xf>
    <xf numFmtId="0" fontId="43" fillId="6" borderId="0" xfId="0" applyFont="1" applyFill="1" applyBorder="1" applyAlignment="1">
      <alignment horizontal="center" vertical="center"/>
    </xf>
    <xf numFmtId="0" fontId="44" fillId="11" borderId="0" xfId="0" applyFont="1" applyFill="1" applyBorder="1" applyAlignment="1">
      <alignment horizontal="left" vertical="center"/>
    </xf>
    <xf numFmtId="0" fontId="46" fillId="6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top"/>
    </xf>
    <xf numFmtId="0" fontId="47" fillId="0" borderId="0" xfId="0" applyFont="1" applyBorder="1" applyAlignment="1">
      <alignment horizontal="left" vertical="top"/>
    </xf>
    <xf numFmtId="167" fontId="47" fillId="0" borderId="0" xfId="0" applyNumberFormat="1" applyFont="1" applyFill="1" applyBorder="1" applyAlignment="1">
      <alignment horizontal="left" vertical="top"/>
    </xf>
    <xf numFmtId="43" fontId="43" fillId="14" borderId="4" xfId="1" applyFont="1" applyFill="1" applyBorder="1" applyAlignment="1">
      <alignment horizontal="center" vertical="center" wrapText="1"/>
    </xf>
    <xf numFmtId="43" fontId="45" fillId="0" borderId="0" xfId="1" applyFont="1" applyFill="1" applyBorder="1" applyAlignment="1">
      <alignment horizontal="center" vertical="center" wrapText="1"/>
    </xf>
    <xf numFmtId="43" fontId="46" fillId="15" borderId="0" xfId="1" applyFont="1" applyFill="1" applyBorder="1" applyAlignment="1">
      <alignment horizontal="center" vertical="center"/>
    </xf>
    <xf numFmtId="43" fontId="45" fillId="0" borderId="0" xfId="1" applyFont="1" applyBorder="1" applyAlignment="1">
      <alignment horizontal="center" vertical="center"/>
    </xf>
    <xf numFmtId="43" fontId="45" fillId="0" borderId="0" xfId="1" applyFont="1" applyBorder="1" applyAlignment="1">
      <alignment horizontal="center" vertical="center" wrapText="1"/>
    </xf>
    <xf numFmtId="43" fontId="45" fillId="0" borderId="0" xfId="1" applyFont="1" applyAlignment="1">
      <alignment horizontal="center"/>
    </xf>
    <xf numFmtId="43" fontId="45" fillId="0" borderId="0" xfId="1" applyFont="1" applyFill="1" applyBorder="1" applyAlignment="1">
      <alignment horizontal="center" vertical="center"/>
    </xf>
    <xf numFmtId="43" fontId="45" fillId="0" borderId="0" xfId="1" applyFont="1" applyFill="1" applyBorder="1" applyAlignment="1">
      <alignment horizontal="center"/>
    </xf>
    <xf numFmtId="43" fontId="46" fillId="11" borderId="0" xfId="1" applyFont="1" applyFill="1" applyBorder="1" applyAlignment="1">
      <alignment horizontal="center" vertical="center"/>
    </xf>
    <xf numFmtId="43" fontId="46" fillId="6" borderId="0" xfId="1" applyFont="1" applyFill="1" applyBorder="1" applyAlignment="1">
      <alignment horizontal="center" vertical="center"/>
    </xf>
    <xf numFmtId="43" fontId="46" fillId="0" borderId="0" xfId="1" applyFont="1" applyFill="1" applyBorder="1" applyAlignment="1">
      <alignment vertical="center"/>
    </xf>
    <xf numFmtId="43" fontId="46" fillId="0" borderId="0" xfId="1" applyFont="1" applyFill="1" applyAlignment="1">
      <alignment vertical="center"/>
    </xf>
    <xf numFmtId="43" fontId="45" fillId="6" borderId="0" xfId="1" applyFont="1" applyFill="1" applyBorder="1" applyAlignment="1">
      <alignment horizontal="center" vertical="center" wrapText="1"/>
    </xf>
    <xf numFmtId="43" fontId="45" fillId="0" borderId="0" xfId="1" applyFont="1"/>
    <xf numFmtId="0" fontId="45" fillId="15" borderId="0" xfId="0" applyFont="1" applyFill="1" applyBorder="1" applyAlignment="1">
      <alignment horizontal="center" vertical="center"/>
    </xf>
    <xf numFmtId="0" fontId="45" fillId="11" borderId="0" xfId="0" applyFont="1" applyFill="1" applyBorder="1" applyAlignment="1">
      <alignment horizontal="center" vertical="center"/>
    </xf>
    <xf numFmtId="0" fontId="6" fillId="2" borderId="0" xfId="4" applyFill="1" applyAlignment="1">
      <alignment vertical="center"/>
    </xf>
    <xf numFmtId="0" fontId="42" fillId="0" borderId="0" xfId="4" applyFont="1" applyFill="1" applyAlignment="1">
      <alignment vertical="center"/>
    </xf>
    <xf numFmtId="0" fontId="51" fillId="0" borderId="0" xfId="476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vertical="center"/>
    </xf>
    <xf numFmtId="0" fontId="52" fillId="0" borderId="0" xfId="955" applyFont="1" applyFill="1" applyBorder="1" applyAlignment="1">
      <alignment horizontal="left" vertical="center"/>
    </xf>
    <xf numFmtId="0" fontId="52" fillId="0" borderId="0" xfId="955" applyFont="1" applyFill="1" applyBorder="1" applyAlignment="1">
      <alignment vertical="center"/>
    </xf>
    <xf numFmtId="0" fontId="52" fillId="0" borderId="0" xfId="955" applyFont="1" applyFill="1" applyBorder="1"/>
    <xf numFmtId="0" fontId="53" fillId="0" borderId="0" xfId="955" applyFont="1" applyFill="1" applyBorder="1" applyAlignment="1">
      <alignment horizontal="left" vertical="center"/>
    </xf>
    <xf numFmtId="0" fontId="52" fillId="0" borderId="0" xfId="955" applyFont="1" applyFill="1" applyBorder="1" applyAlignment="1">
      <alignment horizontal="left" vertical="distributed"/>
    </xf>
    <xf numFmtId="0" fontId="54" fillId="0" borderId="0" xfId="0" applyFont="1" applyFill="1" applyAlignment="1">
      <alignment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 applyAlignment="1">
      <alignment horizontal="center" vertical="center"/>
    </xf>
    <xf numFmtId="43" fontId="53" fillId="0" borderId="0" xfId="5" applyFont="1" applyFill="1" applyAlignment="1">
      <alignment horizontal="center" vertical="center"/>
    </xf>
    <xf numFmtId="43" fontId="53" fillId="0" borderId="0" xfId="5" applyFont="1" applyFill="1" applyAlignment="1">
      <alignment vertical="center"/>
    </xf>
    <xf numFmtId="0" fontId="54" fillId="0" borderId="4" xfId="0" applyFont="1" applyFill="1" applyBorder="1" applyAlignment="1">
      <alignment horizontal="center" vertical="center" wrapText="1"/>
    </xf>
    <xf numFmtId="43" fontId="54" fillId="0" borderId="4" xfId="5" applyFont="1" applyFill="1" applyBorder="1" applyAlignment="1">
      <alignment horizontal="center" vertical="center" wrapText="1"/>
    </xf>
    <xf numFmtId="170" fontId="54" fillId="0" borderId="4" xfId="5" applyNumberFormat="1" applyFont="1" applyFill="1" applyBorder="1" applyAlignment="1">
      <alignment horizontal="center" vertical="center" wrapText="1"/>
    </xf>
    <xf numFmtId="0" fontId="53" fillId="0" borderId="4" xfId="0" applyFont="1" applyFill="1" applyBorder="1" applyAlignment="1">
      <alignment horizontal="center" vertical="center"/>
    </xf>
    <xf numFmtId="0" fontId="55" fillId="0" borderId="4" xfId="476" applyFont="1" applyFill="1" applyBorder="1" applyAlignment="1">
      <alignment horizontal="center" vertical="center" wrapText="1"/>
    </xf>
    <xf numFmtId="0" fontId="55" fillId="0" borderId="4" xfId="476" applyFont="1" applyFill="1" applyBorder="1" applyAlignment="1">
      <alignment horizontal="left" vertical="center" wrapText="1"/>
    </xf>
    <xf numFmtId="43" fontId="55" fillId="0" borderId="4" xfId="5" applyFont="1" applyFill="1" applyBorder="1" applyAlignment="1">
      <alignment horizontal="center" vertical="center" wrapText="1"/>
    </xf>
    <xf numFmtId="4" fontId="53" fillId="0" borderId="4" xfId="5" applyNumberFormat="1" applyFont="1" applyFill="1" applyBorder="1" applyAlignment="1">
      <alignment vertical="center"/>
    </xf>
    <xf numFmtId="0" fontId="53" fillId="0" borderId="4" xfId="955" applyFont="1" applyFill="1" applyBorder="1" applyAlignment="1">
      <alignment vertical="center"/>
    </xf>
    <xf numFmtId="0" fontId="52" fillId="0" borderId="4" xfId="955" applyFont="1" applyFill="1" applyBorder="1" applyAlignment="1">
      <alignment vertical="center"/>
    </xf>
    <xf numFmtId="0" fontId="53" fillId="0" borderId="4" xfId="955" applyFont="1" applyFill="1" applyBorder="1" applyAlignment="1">
      <alignment horizontal="left" vertical="center"/>
    </xf>
    <xf numFmtId="0" fontId="52" fillId="0" borderId="4" xfId="955" applyFont="1" applyFill="1" applyBorder="1" applyAlignment="1">
      <alignment horizontal="left" vertical="center"/>
    </xf>
    <xf numFmtId="0" fontId="56" fillId="0" borderId="4" xfId="476" applyFont="1" applyFill="1" applyBorder="1" applyAlignment="1">
      <alignment horizontal="center" vertical="center" wrapText="1"/>
    </xf>
    <xf numFmtId="0" fontId="56" fillId="0" borderId="4" xfId="476" applyFont="1" applyFill="1" applyBorder="1" applyAlignment="1">
      <alignment horizontal="left" vertical="center" wrapText="1"/>
    </xf>
    <xf numFmtId="43" fontId="53" fillId="0" borderId="4" xfId="5" applyFont="1" applyFill="1" applyBorder="1" applyAlignment="1">
      <alignment horizontal="center" vertical="center"/>
    </xf>
    <xf numFmtId="0" fontId="57" fillId="0" borderId="4" xfId="955" applyFont="1" applyFill="1" applyBorder="1"/>
    <xf numFmtId="0" fontId="57" fillId="0" borderId="4" xfId="955" applyFont="1" applyFill="1" applyBorder="1" applyAlignment="1">
      <alignment horizontal="left" vertical="distributed"/>
    </xf>
    <xf numFmtId="0" fontId="57" fillId="0" borderId="4" xfId="955" applyFont="1" applyFill="1" applyBorder="1" applyAlignment="1">
      <alignment horizontal="center"/>
    </xf>
    <xf numFmtId="4" fontId="53" fillId="0" borderId="0" xfId="5" applyNumberFormat="1" applyFont="1" applyFill="1" applyAlignment="1">
      <alignment vertical="center"/>
    </xf>
    <xf numFmtId="0" fontId="14" fillId="8" borderId="4" xfId="0" applyFont="1" applyFill="1" applyBorder="1" applyAlignment="1">
      <alignment horizontal="center" vertical="center" wrapText="1"/>
    </xf>
    <xf numFmtId="43" fontId="14" fillId="8" borderId="4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/>
    </xf>
    <xf numFmtId="0" fontId="58" fillId="0" borderId="0" xfId="0" applyFont="1" applyFill="1"/>
    <xf numFmtId="43" fontId="0" fillId="0" borderId="0" xfId="1" applyNumberFormat="1" applyFont="1"/>
    <xf numFmtId="0" fontId="0" fillId="0" borderId="0" xfId="0" applyAlignment="1">
      <alignment horizontal="center"/>
    </xf>
    <xf numFmtId="43" fontId="0" fillId="0" borderId="0" xfId="1" applyFont="1"/>
    <xf numFmtId="43" fontId="18" fillId="0" borderId="0" xfId="1" applyFont="1"/>
    <xf numFmtId="9" fontId="50" fillId="0" borderId="0" xfId="2" applyFont="1"/>
    <xf numFmtId="0" fontId="19" fillId="0" borderId="0" xfId="0" applyFont="1"/>
    <xf numFmtId="43" fontId="14" fillId="0" borderId="0" xfId="1" applyFont="1"/>
    <xf numFmtId="0" fontId="15" fillId="0" borderId="0" xfId="0" applyFont="1" applyAlignment="1">
      <alignment wrapText="1"/>
    </xf>
    <xf numFmtId="0" fontId="3" fillId="0" borderId="0" xfId="0" applyFont="1" applyAlignment="1">
      <alignment horizontal="center"/>
    </xf>
    <xf numFmtId="43" fontId="3" fillId="0" borderId="0" xfId="1" applyFont="1"/>
    <xf numFmtId="43" fontId="15" fillId="0" borderId="0" xfId="1" applyFont="1"/>
    <xf numFmtId="0" fontId="14" fillId="16" borderId="0" xfId="0" applyFont="1" applyFill="1" applyAlignment="1">
      <alignment horizontal="center"/>
    </xf>
    <xf numFmtId="0" fontId="58" fillId="0" borderId="0" xfId="0" applyFont="1"/>
    <xf numFmtId="0" fontId="14" fillId="0" borderId="0" xfId="0" applyFont="1"/>
    <xf numFmtId="43" fontId="0" fillId="0" borderId="0" xfId="1" applyNumberFormat="1" applyFont="1" applyFill="1"/>
    <xf numFmtId="0" fontId="22" fillId="0" borderId="0" xfId="1232"/>
    <xf numFmtId="0" fontId="0" fillId="0" borderId="0" xfId="0" applyFill="1"/>
    <xf numFmtId="43" fontId="0" fillId="0" borderId="0" xfId="1" applyFont="1" applyFill="1"/>
    <xf numFmtId="0" fontId="21" fillId="0" borderId="0" xfId="0" applyFont="1"/>
    <xf numFmtId="43" fontId="0" fillId="0" borderId="0" xfId="0" applyNumberFormat="1" applyFill="1"/>
    <xf numFmtId="43" fontId="14" fillId="0" borderId="0" xfId="1" applyNumberFormat="1" applyFont="1"/>
    <xf numFmtId="0" fontId="14" fillId="0" borderId="0" xfId="0" applyFont="1" applyAlignment="1">
      <alignment horizontal="center"/>
    </xf>
    <xf numFmtId="0" fontId="14" fillId="9" borderId="0" xfId="0" applyFont="1" applyFill="1" applyAlignment="1">
      <alignment horizontal="center"/>
    </xf>
    <xf numFmtId="43" fontId="3" fillId="0" borderId="0" xfId="1" applyNumberFormat="1" applyFont="1"/>
    <xf numFmtId="43" fontId="59" fillId="0" borderId="0" xfId="1" applyNumberFormat="1" applyFont="1" applyFill="1"/>
    <xf numFmtId="0" fontId="59" fillId="0" borderId="0" xfId="0" applyFont="1"/>
    <xf numFmtId="0" fontId="14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 vertical="top"/>
    </xf>
    <xf numFmtId="43" fontId="3" fillId="2" borderId="0" xfId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4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 vertical="top" wrapText="1"/>
    </xf>
    <xf numFmtId="37" fontId="3" fillId="2" borderId="4" xfId="1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/>
    </xf>
    <xf numFmtId="0" fontId="3" fillId="2" borderId="4" xfId="709" applyFont="1" applyFill="1" applyBorder="1" applyAlignment="1">
      <alignment vertical="top" wrapText="1"/>
    </xf>
    <xf numFmtId="0" fontId="3" fillId="2" borderId="4" xfId="709" applyFont="1" applyFill="1" applyBorder="1" applyAlignment="1">
      <alignment horizontal="center" vertical="top"/>
    </xf>
    <xf numFmtId="43" fontId="3" fillId="2" borderId="4" xfId="8" applyFont="1" applyFill="1" applyBorder="1" applyAlignment="1">
      <alignment vertical="top"/>
    </xf>
    <xf numFmtId="43" fontId="14" fillId="2" borderId="4" xfId="1" applyFont="1" applyFill="1" applyBorder="1" applyAlignment="1">
      <alignment vertical="top"/>
    </xf>
    <xf numFmtId="0" fontId="3" fillId="2" borderId="0" xfId="0" applyFont="1" applyFill="1" applyBorder="1" applyAlignment="1">
      <alignment horizontal="right" vertical="top"/>
    </xf>
    <xf numFmtId="43" fontId="3" fillId="2" borderId="0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43" fontId="3" fillId="0" borderId="0" xfId="1" applyFont="1" applyFill="1" applyBorder="1" applyAlignment="1">
      <alignment vertical="top"/>
    </xf>
    <xf numFmtId="0" fontId="3" fillId="0" borderId="0" xfId="0" applyFont="1" applyFill="1" applyBorder="1" applyAlignment="1">
      <alignment horizontal="right" vertical="top"/>
    </xf>
    <xf numFmtId="0" fontId="14" fillId="0" borderId="0" xfId="0" applyFont="1" applyFill="1" applyBorder="1" applyAlignment="1">
      <alignment vertical="top"/>
    </xf>
    <xf numFmtId="0" fontId="61" fillId="0" borderId="0" xfId="0" applyFont="1" applyAlignment="1">
      <alignment vertical="top"/>
    </xf>
    <xf numFmtId="0" fontId="3" fillId="0" borderId="0" xfId="0" applyFont="1" applyFill="1" applyBorder="1" applyAlignment="1">
      <alignment vertical="top" wrapText="1"/>
    </xf>
    <xf numFmtId="43" fontId="3" fillId="0" borderId="0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43" fontId="3" fillId="0" borderId="0" xfId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167" fontId="3" fillId="0" borderId="0" xfId="0" applyNumberFormat="1" applyFont="1" applyFill="1" applyBorder="1" applyAlignment="1">
      <alignment horizontal="center" vertical="top"/>
    </xf>
    <xf numFmtId="167" fontId="3" fillId="0" borderId="0" xfId="0" applyNumberFormat="1" applyFont="1" applyFill="1" applyBorder="1" applyAlignment="1">
      <alignment vertical="top"/>
    </xf>
    <xf numFmtId="167" fontId="3" fillId="0" borderId="0" xfId="0" applyNumberFormat="1" applyFont="1" applyFill="1" applyBorder="1" applyAlignment="1">
      <alignment horizontal="left" vertical="top"/>
    </xf>
    <xf numFmtId="3" fontId="3" fillId="0" borderId="0" xfId="0" applyNumberFormat="1" applyFont="1" applyFill="1" applyBorder="1" applyAlignment="1">
      <alignment horizontal="center" vertical="top"/>
    </xf>
    <xf numFmtId="167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6" fontId="3" fillId="0" borderId="0" xfId="0" applyNumberFormat="1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vertical="top"/>
    </xf>
    <xf numFmtId="1" fontId="3" fillId="0" borderId="0" xfId="0" applyNumberFormat="1" applyFont="1" applyFill="1" applyBorder="1" applyAlignment="1">
      <alignment vertical="top"/>
    </xf>
    <xf numFmtId="0" fontId="3" fillId="2" borderId="2" xfId="709" applyFont="1" applyFill="1" applyBorder="1" applyAlignment="1">
      <alignment vertical="top" wrapText="1"/>
    </xf>
    <xf numFmtId="0" fontId="3" fillId="2" borderId="2" xfId="709" applyFont="1" applyFill="1" applyBorder="1" applyAlignment="1">
      <alignment horizontal="center" vertical="top"/>
    </xf>
    <xf numFmtId="43" fontId="3" fillId="2" borderId="2" xfId="8" applyFont="1" applyFill="1" applyBorder="1" applyAlignment="1">
      <alignment vertical="top"/>
    </xf>
    <xf numFmtId="168" fontId="25" fillId="2" borderId="0" xfId="0" applyNumberFormat="1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center" vertical="top"/>
    </xf>
    <xf numFmtId="43" fontId="14" fillId="8" borderId="4" xfId="1" applyFont="1" applyFill="1" applyBorder="1" applyAlignment="1">
      <alignment horizontal="center" vertical="top" wrapText="1"/>
    </xf>
    <xf numFmtId="0" fontId="3" fillId="2" borderId="16" xfId="709" applyFont="1" applyFill="1" applyBorder="1" applyAlignment="1">
      <alignment vertical="top" wrapText="1"/>
    </xf>
    <xf numFmtId="0" fontId="3" fillId="2" borderId="16" xfId="709" applyFont="1" applyFill="1" applyBorder="1" applyAlignment="1">
      <alignment horizontal="center" vertical="top"/>
    </xf>
    <xf numFmtId="43" fontId="3" fillId="2" borderId="16" xfId="8" applyFont="1" applyFill="1" applyBorder="1" applyAlignment="1">
      <alignment vertical="top"/>
    </xf>
    <xf numFmtId="0" fontId="3" fillId="2" borderId="2" xfId="0" applyFont="1" applyFill="1" applyBorder="1" applyAlignment="1">
      <alignment horizontal="center" vertical="top"/>
    </xf>
    <xf numFmtId="0" fontId="3" fillId="2" borderId="0" xfId="709" applyFont="1" applyFill="1" applyBorder="1" applyAlignment="1">
      <alignment vertical="top" wrapText="1"/>
    </xf>
    <xf numFmtId="0" fontId="3" fillId="2" borderId="0" xfId="709" applyFont="1" applyFill="1" applyBorder="1" applyAlignment="1">
      <alignment horizontal="center" vertical="top"/>
    </xf>
    <xf numFmtId="43" fontId="3" fillId="2" borderId="0" xfId="8" applyFont="1" applyFill="1" applyBorder="1" applyAlignment="1">
      <alignment vertical="top"/>
    </xf>
    <xf numFmtId="0" fontId="3" fillId="2" borderId="16" xfId="0" applyFont="1" applyFill="1" applyBorder="1" applyAlignment="1">
      <alignment horizontal="center" vertical="top" wrapText="1"/>
    </xf>
    <xf numFmtId="37" fontId="3" fillId="2" borderId="16" xfId="1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37" fontId="3" fillId="2" borderId="0" xfId="1" applyNumberFormat="1" applyFont="1" applyFill="1" applyBorder="1" applyAlignment="1">
      <alignment horizontal="center" vertical="top" wrapText="1"/>
    </xf>
    <xf numFmtId="43" fontId="14" fillId="8" borderId="16" xfId="1" applyFont="1" applyFill="1" applyBorder="1" applyAlignment="1">
      <alignment horizontal="center" vertical="top" wrapText="1"/>
    </xf>
    <xf numFmtId="168" fontId="28" fillId="2" borderId="0" xfId="0" applyNumberFormat="1" applyFont="1" applyFill="1" applyBorder="1" applyAlignment="1">
      <alignment vertical="center" wrapText="1"/>
    </xf>
    <xf numFmtId="43" fontId="3" fillId="0" borderId="4" xfId="8" applyFont="1" applyFill="1" applyBorder="1" applyAlignment="1">
      <alignment vertical="top"/>
    </xf>
    <xf numFmtId="0" fontId="3" fillId="2" borderId="41" xfId="0" applyFont="1" applyFill="1" applyBorder="1" applyAlignment="1">
      <alignment horizontal="center" vertical="top" wrapText="1"/>
    </xf>
    <xf numFmtId="37" fontId="3" fillId="2" borderId="41" xfId="1" applyNumberFormat="1" applyFont="1" applyFill="1" applyBorder="1" applyAlignment="1">
      <alignment horizontal="center" vertical="top" wrapText="1"/>
    </xf>
    <xf numFmtId="0" fontId="3" fillId="2" borderId="54" xfId="0" applyFont="1" applyFill="1" applyBorder="1" applyAlignment="1">
      <alignment horizontal="center" vertical="top" wrapText="1"/>
    </xf>
    <xf numFmtId="0" fontId="3" fillId="2" borderId="41" xfId="709" applyFont="1" applyFill="1" applyBorder="1" applyAlignment="1">
      <alignment vertical="top" wrapText="1"/>
    </xf>
    <xf numFmtId="0" fontId="3" fillId="2" borderId="41" xfId="709" applyFont="1" applyFill="1" applyBorder="1" applyAlignment="1">
      <alignment horizontal="center" vertical="top"/>
    </xf>
    <xf numFmtId="43" fontId="3" fillId="2" borderId="41" xfId="8" applyFont="1" applyFill="1" applyBorder="1" applyAlignment="1">
      <alignment vertical="top"/>
    </xf>
    <xf numFmtId="0" fontId="3" fillId="2" borderId="54" xfId="709" applyFont="1" applyFill="1" applyBorder="1" applyAlignment="1">
      <alignment vertical="top" wrapText="1"/>
    </xf>
    <xf numFmtId="0" fontId="62" fillId="2" borderId="22" xfId="0" applyFont="1" applyFill="1" applyBorder="1" applyAlignment="1">
      <alignment horizontal="left" vertical="top"/>
    </xf>
    <xf numFmtId="0" fontId="3" fillId="2" borderId="4" xfId="709" applyFont="1" applyFill="1" applyBorder="1" applyAlignment="1">
      <alignment horizontal="left" vertical="top" wrapText="1"/>
    </xf>
    <xf numFmtId="167" fontId="37" fillId="2" borderId="0" xfId="1228" applyNumberFormat="1" applyFont="1" applyFill="1" applyAlignment="1">
      <alignment vertical="center"/>
    </xf>
    <xf numFmtId="0" fontId="36" fillId="0" borderId="0" xfId="4" applyFont="1" applyFill="1" applyAlignment="1"/>
    <xf numFmtId="167" fontId="39" fillId="0" borderId="0" xfId="1" applyNumberFormat="1" applyFont="1" applyFill="1" applyAlignment="1">
      <alignment vertical="center"/>
    </xf>
    <xf numFmtId="2" fontId="37" fillId="0" borderId="0" xfId="1" applyNumberFormat="1" applyFont="1" applyFill="1" applyAlignment="1"/>
    <xf numFmtId="0" fontId="22" fillId="0" borderId="0" xfId="1232" applyFill="1" applyBorder="1" applyAlignment="1">
      <alignment vertical="top"/>
    </xf>
    <xf numFmtId="168" fontId="29" fillId="2" borderId="4" xfId="0" applyNumberFormat="1" applyFont="1" applyFill="1" applyBorder="1" applyAlignment="1">
      <alignment horizontal="center" vertical="center"/>
    </xf>
    <xf numFmtId="43" fontId="27" fillId="0" borderId="4" xfId="1" applyFont="1" applyFill="1" applyBorder="1" applyAlignment="1">
      <alignment horizontal="left" vertical="center"/>
    </xf>
    <xf numFmtId="43" fontId="26" fillId="0" borderId="4" xfId="1" applyFont="1" applyFill="1" applyBorder="1" applyAlignment="1">
      <alignment vertical="center"/>
    </xf>
    <xf numFmtId="43" fontId="26" fillId="2" borderId="4" xfId="1" applyFont="1" applyFill="1" applyBorder="1" applyAlignment="1">
      <alignment vertical="center"/>
    </xf>
    <xf numFmtId="43" fontId="25" fillId="3" borderId="4" xfId="1" applyFont="1" applyFill="1" applyBorder="1" applyAlignment="1">
      <alignment vertical="center"/>
    </xf>
    <xf numFmtId="43" fontId="27" fillId="3" borderId="4" xfId="1" applyFont="1" applyFill="1" applyBorder="1" applyAlignment="1">
      <alignment vertical="center"/>
    </xf>
    <xf numFmtId="43" fontId="26" fillId="3" borderId="4" xfId="1" applyFont="1" applyFill="1" applyBorder="1" applyAlignment="1">
      <alignment vertical="center"/>
    </xf>
    <xf numFmtId="43" fontId="27" fillId="7" borderId="13" xfId="1" applyFont="1" applyFill="1" applyBorder="1" applyAlignment="1">
      <alignment vertical="center"/>
    </xf>
    <xf numFmtId="43" fontId="28" fillId="0" borderId="4" xfId="1" applyFont="1" applyFill="1" applyBorder="1" applyAlignment="1">
      <alignment vertical="center"/>
    </xf>
    <xf numFmtId="0" fontId="36" fillId="2" borderId="0" xfId="4" applyFont="1" applyFill="1"/>
    <xf numFmtId="167" fontId="37" fillId="2" borderId="0" xfId="1" applyNumberFormat="1" applyFont="1" applyFill="1" applyAlignment="1">
      <alignment horizontal="right" vertical="center"/>
    </xf>
    <xf numFmtId="167" fontId="37" fillId="2" borderId="0" xfId="1" applyNumberFormat="1" applyFont="1" applyFill="1" applyAlignment="1">
      <alignment horizontal="right"/>
    </xf>
    <xf numFmtId="2" fontId="37" fillId="2" borderId="0" xfId="1" applyNumberFormat="1" applyFont="1" applyFill="1" applyAlignment="1">
      <alignment horizontal="right"/>
    </xf>
    <xf numFmtId="2" fontId="37" fillId="2" borderId="0" xfId="4" applyNumberFormat="1" applyFont="1" applyFill="1" applyAlignment="1">
      <alignment vertical="top"/>
    </xf>
    <xf numFmtId="167" fontId="38" fillId="2" borderId="0" xfId="1228" applyNumberFormat="1" applyFont="1" applyFill="1" applyAlignment="1">
      <alignment horizontal="right" vertical="center"/>
    </xf>
    <xf numFmtId="2" fontId="37" fillId="2" borderId="0" xfId="4" applyNumberFormat="1" applyFont="1" applyFill="1" applyAlignment="1">
      <alignment horizontal="left" vertical="center"/>
    </xf>
    <xf numFmtId="0" fontId="6" fillId="2" borderId="0" xfId="4" applyFill="1"/>
    <xf numFmtId="0" fontId="8" fillId="0" borderId="0" xfId="4" applyFont="1" applyFill="1" applyAlignment="1">
      <alignment horizontal="right"/>
    </xf>
    <xf numFmtId="0" fontId="8" fillId="0" borderId="0" xfId="4" applyFont="1" applyFill="1" applyAlignment="1">
      <alignment horizontal="right" vertical="center"/>
    </xf>
    <xf numFmtId="9" fontId="8" fillId="0" borderId="0" xfId="4" applyNumberFormat="1" applyFont="1" applyFill="1"/>
    <xf numFmtId="0" fontId="63" fillId="0" borderId="1" xfId="4" applyFont="1" applyBorder="1" applyAlignment="1">
      <alignment horizontal="center" vertical="center"/>
    </xf>
    <xf numFmtId="49" fontId="64" fillId="0" borderId="1" xfId="4" applyNumberFormat="1" applyFont="1" applyBorder="1" applyAlignment="1">
      <alignment horizontal="left" vertical="center"/>
    </xf>
    <xf numFmtId="43" fontId="64" fillId="4" borderId="4" xfId="1" applyFont="1" applyFill="1" applyBorder="1" applyAlignment="1">
      <alignment horizontal="right" vertical="center"/>
    </xf>
    <xf numFmtId="43" fontId="64" fillId="9" borderId="4" xfId="1" applyFont="1" applyFill="1" applyBorder="1" applyAlignment="1">
      <alignment horizontal="right" vertical="center"/>
    </xf>
    <xf numFmtId="43" fontId="64" fillId="10" borderId="4" xfId="1" applyFont="1" applyFill="1" applyBorder="1" applyAlignment="1">
      <alignment horizontal="right" vertical="center"/>
    </xf>
    <xf numFmtId="43" fontId="64" fillId="2" borderId="4" xfId="1" applyFont="1" applyFill="1" applyBorder="1" applyAlignment="1">
      <alignment horizontal="right" vertical="center"/>
    </xf>
    <xf numFmtId="43" fontId="64" fillId="2" borderId="5" xfId="1" applyFont="1" applyFill="1" applyBorder="1" applyAlignment="1">
      <alignment horizontal="right" vertical="center"/>
    </xf>
    <xf numFmtId="49" fontId="64" fillId="0" borderId="1" xfId="4" applyNumberFormat="1" applyFont="1" applyBorder="1" applyAlignment="1">
      <alignment horizontal="center" vertical="center"/>
    </xf>
    <xf numFmtId="49" fontId="63" fillId="0" borderId="1" xfId="4" applyNumberFormat="1" applyFont="1" applyBorder="1" applyAlignment="1">
      <alignment horizontal="center" vertical="center"/>
    </xf>
    <xf numFmtId="43" fontId="63" fillId="3" borderId="4" xfId="1" applyFont="1" applyFill="1" applyBorder="1" applyAlignment="1">
      <alignment horizontal="right" vertical="center"/>
    </xf>
    <xf numFmtId="43" fontId="64" fillId="9" borderId="4" xfId="1" applyFont="1" applyFill="1" applyBorder="1" applyAlignment="1">
      <alignment horizontal="right" vertical="center" wrapText="1"/>
    </xf>
    <xf numFmtId="43" fontId="64" fillId="10" borderId="4" xfId="1" applyFont="1" applyFill="1" applyBorder="1" applyAlignment="1">
      <alignment horizontal="right" vertical="center" wrapText="1"/>
    </xf>
    <xf numFmtId="43" fontId="63" fillId="8" borderId="4" xfId="1" applyFont="1" applyFill="1" applyBorder="1" applyAlignment="1">
      <alignment horizontal="right" vertical="center"/>
    </xf>
    <xf numFmtId="43" fontId="63" fillId="8" borderId="13" xfId="1" applyFont="1" applyFill="1" applyBorder="1" applyAlignment="1">
      <alignment horizontal="right" vertical="center"/>
    </xf>
    <xf numFmtId="43" fontId="64" fillId="4" borderId="4" xfId="1" applyFont="1" applyFill="1" applyBorder="1" applyAlignment="1">
      <alignment vertical="center"/>
    </xf>
    <xf numFmtId="43" fontId="63" fillId="9" borderId="4" xfId="1" applyFont="1" applyFill="1" applyBorder="1" applyAlignment="1">
      <alignment horizontal="right" vertical="center"/>
    </xf>
    <xf numFmtId="43" fontId="63" fillId="10" borderId="4" xfId="1" applyFont="1" applyFill="1" applyBorder="1" applyAlignment="1">
      <alignment horizontal="right" vertical="center"/>
    </xf>
    <xf numFmtId="43" fontId="63" fillId="2" borderId="4" xfId="1" applyFont="1" applyFill="1" applyBorder="1" applyAlignment="1">
      <alignment horizontal="right" vertical="center"/>
    </xf>
    <xf numFmtId="43" fontId="63" fillId="2" borderId="5" xfId="1" applyFont="1" applyFill="1" applyBorder="1" applyAlignment="1">
      <alignment horizontal="right" vertical="center"/>
    </xf>
    <xf numFmtId="43" fontId="63" fillId="4" borderId="4" xfId="1" applyFont="1" applyFill="1" applyBorder="1" applyAlignment="1">
      <alignment horizontal="right" vertical="center"/>
    </xf>
    <xf numFmtId="165" fontId="63" fillId="4" borderId="4" xfId="1" applyNumberFormat="1" applyFont="1" applyFill="1" applyBorder="1" applyAlignment="1">
      <alignment horizontal="center" vertical="center" wrapText="1"/>
    </xf>
    <xf numFmtId="165" fontId="63" fillId="9" borderId="4" xfId="1" applyNumberFormat="1" applyFont="1" applyFill="1" applyBorder="1" applyAlignment="1">
      <alignment horizontal="center" vertical="center" wrapText="1"/>
    </xf>
    <xf numFmtId="165" fontId="63" fillId="10" borderId="4" xfId="1" applyNumberFormat="1" applyFont="1" applyFill="1" applyBorder="1" applyAlignment="1">
      <alignment horizontal="center" vertical="center" wrapText="1"/>
    </xf>
    <xf numFmtId="167" fontId="63" fillId="2" borderId="4" xfId="1" applyNumberFormat="1" applyFont="1" applyFill="1" applyBorder="1" applyAlignment="1">
      <alignment horizontal="center" vertical="center" wrapText="1"/>
    </xf>
    <xf numFmtId="167" fontId="63" fillId="2" borderId="5" xfId="1" applyNumberFormat="1" applyFont="1" applyFill="1" applyBorder="1" applyAlignment="1">
      <alignment horizontal="center" vertical="center" wrapText="1"/>
    </xf>
    <xf numFmtId="0" fontId="1" fillId="0" borderId="0" xfId="483"/>
    <xf numFmtId="4" fontId="1" fillId="0" borderId="0" xfId="483" applyNumberFormat="1"/>
    <xf numFmtId="166" fontId="1" fillId="0" borderId="0" xfId="483" applyNumberFormat="1"/>
    <xf numFmtId="0" fontId="1" fillId="0" borderId="0" xfId="483" applyAlignment="1">
      <alignment horizontal="right"/>
    </xf>
    <xf numFmtId="167" fontId="1" fillId="0" borderId="0" xfId="483" applyNumberFormat="1"/>
    <xf numFmtId="9" fontId="1" fillId="0" borderId="0" xfId="483" applyNumberFormat="1"/>
    <xf numFmtId="0" fontId="1" fillId="0" borderId="4" xfId="483" applyBorder="1" applyAlignment="1">
      <alignment horizontal="right"/>
    </xf>
    <xf numFmtId="3" fontId="1" fillId="0" borderId="0" xfId="483" applyNumberFormat="1"/>
    <xf numFmtId="1" fontId="1" fillId="0" borderId="0" xfId="483" applyNumberFormat="1"/>
    <xf numFmtId="0" fontId="26" fillId="0" borderId="0" xfId="483" applyFont="1"/>
    <xf numFmtId="0" fontId="8" fillId="0" borderId="0" xfId="4" applyFont="1" applyFill="1" applyBorder="1"/>
    <xf numFmtId="165" fontId="8" fillId="0" borderId="0" xfId="1" applyNumberFormat="1" applyFont="1" applyFill="1" applyBorder="1"/>
    <xf numFmtId="43" fontId="8" fillId="0" borderId="0" xfId="1" applyFont="1" applyFill="1" applyBorder="1"/>
    <xf numFmtId="2" fontId="8" fillId="0" borderId="0" xfId="4" applyNumberFormat="1" applyFont="1" applyFill="1" applyBorder="1" applyAlignment="1">
      <alignment horizontal="right" vertical="center"/>
    </xf>
    <xf numFmtId="169" fontId="40" fillId="0" borderId="0" xfId="4" applyNumberFormat="1" applyFont="1" applyFill="1" applyBorder="1" applyAlignment="1">
      <alignment vertical="center" wrapText="1"/>
    </xf>
    <xf numFmtId="2" fontId="8" fillId="0" borderId="0" xfId="4" applyNumberFormat="1" applyFont="1" applyFill="1" applyBorder="1" applyAlignment="1">
      <alignment vertical="center"/>
    </xf>
    <xf numFmtId="2" fontId="40" fillId="0" borderId="0" xfId="4" applyNumberFormat="1" applyFont="1" applyFill="1" applyBorder="1" applyAlignment="1">
      <alignment horizontal="right" vertical="center"/>
    </xf>
    <xf numFmtId="0" fontId="6" fillId="0" borderId="0" xfId="4" applyFill="1" applyBorder="1" applyAlignment="1">
      <alignment vertical="center"/>
    </xf>
    <xf numFmtId="165" fontId="63" fillId="4" borderId="1" xfId="1" applyNumberFormat="1" applyFont="1" applyFill="1" applyBorder="1" applyAlignment="1">
      <alignment horizontal="center" vertical="center" wrapText="1"/>
    </xf>
    <xf numFmtId="165" fontId="63" fillId="4" borderId="5" xfId="1" applyNumberFormat="1" applyFont="1" applyFill="1" applyBorder="1" applyAlignment="1">
      <alignment horizontal="center" vertical="center" wrapText="1"/>
    </xf>
    <xf numFmtId="165" fontId="63" fillId="9" borderId="1" xfId="1" applyNumberFormat="1" applyFont="1" applyFill="1" applyBorder="1" applyAlignment="1">
      <alignment horizontal="center" vertical="center" wrapText="1"/>
    </xf>
    <xf numFmtId="165" fontId="63" fillId="9" borderId="5" xfId="1" applyNumberFormat="1" applyFont="1" applyFill="1" applyBorder="1" applyAlignment="1">
      <alignment horizontal="center" vertical="center" wrapText="1"/>
    </xf>
    <xf numFmtId="165" fontId="63" fillId="10" borderId="1" xfId="1" applyNumberFormat="1" applyFont="1" applyFill="1" applyBorder="1" applyAlignment="1">
      <alignment horizontal="center" vertical="center" wrapText="1"/>
    </xf>
    <xf numFmtId="165" fontId="63" fillId="10" borderId="5" xfId="1" applyNumberFormat="1" applyFont="1" applyFill="1" applyBorder="1" applyAlignment="1">
      <alignment horizontal="center" vertical="center" wrapText="1"/>
    </xf>
    <xf numFmtId="167" fontId="63" fillId="2" borderId="1" xfId="1" applyNumberFormat="1" applyFont="1" applyFill="1" applyBorder="1" applyAlignment="1">
      <alignment horizontal="center" vertical="center" wrapText="1"/>
    </xf>
    <xf numFmtId="165" fontId="63" fillId="4" borderId="15" xfId="1" applyNumberFormat="1" applyFont="1" applyFill="1" applyBorder="1" applyAlignment="1">
      <alignment horizontal="center" vertical="center"/>
    </xf>
    <xf numFmtId="165" fontId="63" fillId="4" borderId="16" xfId="1" applyNumberFormat="1" applyFont="1" applyFill="1" applyBorder="1" applyAlignment="1">
      <alignment horizontal="center" vertical="center"/>
    </xf>
    <xf numFmtId="165" fontId="63" fillId="4" borderId="17" xfId="1" applyNumberFormat="1" applyFont="1" applyFill="1" applyBorder="1" applyAlignment="1">
      <alignment horizontal="center" vertical="center"/>
    </xf>
    <xf numFmtId="165" fontId="63" fillId="9" borderId="15" xfId="1" applyNumberFormat="1" applyFont="1" applyFill="1" applyBorder="1" applyAlignment="1">
      <alignment horizontal="center" vertical="center"/>
    </xf>
    <xf numFmtId="165" fontId="63" fillId="9" borderId="16" xfId="1" applyNumberFormat="1" applyFont="1" applyFill="1" applyBorder="1" applyAlignment="1">
      <alignment horizontal="center" vertical="center"/>
    </xf>
    <xf numFmtId="165" fontId="63" fillId="9" borderId="17" xfId="1" applyNumberFormat="1" applyFont="1" applyFill="1" applyBorder="1" applyAlignment="1">
      <alignment horizontal="center" vertical="center"/>
    </xf>
    <xf numFmtId="165" fontId="63" fillId="10" borderId="15" xfId="1" applyNumberFormat="1" applyFont="1" applyFill="1" applyBorder="1" applyAlignment="1">
      <alignment horizontal="center" vertical="center"/>
    </xf>
    <xf numFmtId="165" fontId="63" fillId="10" borderId="16" xfId="1" applyNumberFormat="1" applyFont="1" applyFill="1" applyBorder="1" applyAlignment="1">
      <alignment horizontal="center" vertical="center"/>
    </xf>
    <xf numFmtId="165" fontId="63" fillId="10" borderId="17" xfId="1" applyNumberFormat="1" applyFont="1" applyFill="1" applyBorder="1" applyAlignment="1">
      <alignment horizontal="center" vertical="center"/>
    </xf>
    <xf numFmtId="167" fontId="63" fillId="2" borderId="15" xfId="1" applyNumberFormat="1" applyFont="1" applyFill="1" applyBorder="1" applyAlignment="1">
      <alignment horizontal="center" vertical="center"/>
    </xf>
    <xf numFmtId="167" fontId="63" fillId="2" borderId="16" xfId="1" applyNumberFormat="1" applyFont="1" applyFill="1" applyBorder="1" applyAlignment="1">
      <alignment horizontal="center" vertical="center"/>
    </xf>
    <xf numFmtId="167" fontId="63" fillId="2" borderId="17" xfId="1" applyNumberFormat="1" applyFont="1" applyFill="1" applyBorder="1" applyAlignment="1">
      <alignment horizontal="center" vertical="center"/>
    </xf>
    <xf numFmtId="43" fontId="63" fillId="6" borderId="16" xfId="1" applyFont="1" applyFill="1" applyBorder="1" applyAlignment="1">
      <alignment horizontal="right" vertical="center"/>
    </xf>
    <xf numFmtId="43" fontId="63" fillId="6" borderId="17" xfId="1" applyFont="1" applyFill="1" applyBorder="1" applyAlignment="1">
      <alignment horizontal="right" vertical="center"/>
    </xf>
    <xf numFmtId="43" fontId="28" fillId="4" borderId="4" xfId="1" applyFont="1" applyFill="1" applyBorder="1" applyAlignment="1">
      <alignment horizontal="right" vertical="center"/>
    </xf>
    <xf numFmtId="43" fontId="28" fillId="10" borderId="4" xfId="1" applyFont="1" applyFill="1" applyBorder="1" applyAlignment="1">
      <alignment horizontal="right" vertical="center"/>
    </xf>
    <xf numFmtId="43" fontId="28" fillId="0" borderId="4" xfId="1" applyFont="1" applyFill="1" applyBorder="1" applyAlignment="1">
      <alignment horizontal="right" vertical="center"/>
    </xf>
    <xf numFmtId="43" fontId="28" fillId="0" borderId="5" xfId="1" applyFont="1" applyFill="1" applyBorder="1" applyAlignment="1">
      <alignment horizontal="right" vertical="center"/>
    </xf>
    <xf numFmtId="2" fontId="63" fillId="0" borderId="1" xfId="4" applyNumberFormat="1" applyFont="1" applyBorder="1" applyAlignment="1">
      <alignment horizontal="center" vertical="center"/>
    </xf>
    <xf numFmtId="43" fontId="64" fillId="4" borderId="4" xfId="1" applyFont="1" applyFill="1" applyBorder="1" applyAlignment="1">
      <alignment horizontal="right" vertical="center" wrapText="1"/>
    </xf>
    <xf numFmtId="43" fontId="63" fillId="3" borderId="6" xfId="1" applyFont="1" applyFill="1" applyBorder="1" applyAlignment="1">
      <alignment horizontal="right" vertical="center"/>
    </xf>
    <xf numFmtId="43" fontId="63" fillId="3" borderId="11" xfId="1" applyFont="1" applyFill="1" applyBorder="1" applyAlignment="1">
      <alignment horizontal="right" vertical="center"/>
    </xf>
    <xf numFmtId="43" fontId="63" fillId="3" borderId="5" xfId="1" applyFont="1" applyFill="1" applyBorder="1" applyAlignment="1">
      <alignment horizontal="right" vertical="center"/>
    </xf>
    <xf numFmtId="43" fontId="63" fillId="8" borderId="5" xfId="1" applyFont="1" applyFill="1" applyBorder="1" applyAlignment="1">
      <alignment horizontal="right" vertical="center"/>
    </xf>
    <xf numFmtId="43" fontId="63" fillId="8" borderId="14" xfId="1" applyFont="1" applyFill="1" applyBorder="1" applyAlignment="1">
      <alignment horizontal="right" vertical="center"/>
    </xf>
    <xf numFmtId="0" fontId="40" fillId="0" borderId="0" xfId="4" applyFont="1" applyFill="1" applyAlignment="1">
      <alignment vertical="center"/>
    </xf>
    <xf numFmtId="43" fontId="3" fillId="0" borderId="0" xfId="1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61" fillId="0" borderId="0" xfId="0" applyFont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67" fillId="0" borderId="0" xfId="0" applyFont="1" applyAlignment="1">
      <alignment horizontal="left" vertical="top"/>
    </xf>
    <xf numFmtId="0" fontId="66" fillId="0" borderId="0" xfId="483" applyFont="1" applyAlignment="1">
      <alignment vertical="center"/>
    </xf>
    <xf numFmtId="4" fontId="66" fillId="2" borderId="0" xfId="483" applyNumberFormat="1" applyFont="1" applyFill="1" applyAlignment="1">
      <alignment vertical="center"/>
    </xf>
    <xf numFmtId="0" fontId="3" fillId="2" borderId="4" xfId="956" applyFont="1" applyFill="1" applyBorder="1" applyAlignment="1">
      <alignment vertical="top" wrapText="1"/>
    </xf>
    <xf numFmtId="0" fontId="3" fillId="2" borderId="4" xfId="956" applyFont="1" applyFill="1" applyBorder="1" applyAlignment="1">
      <alignment horizontal="center" vertical="top"/>
    </xf>
    <xf numFmtId="43" fontId="3" fillId="2" borderId="4" xfId="1" applyFont="1" applyFill="1" applyBorder="1" applyAlignment="1">
      <alignment horizontal="center" vertical="top" wrapText="1"/>
    </xf>
    <xf numFmtId="0" fontId="3" fillId="2" borderId="4" xfId="956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/>
    </xf>
    <xf numFmtId="169" fontId="39" fillId="0" borderId="0" xfId="1" applyNumberFormat="1" applyFont="1" applyFill="1" applyAlignment="1">
      <alignment vertical="center"/>
    </xf>
    <xf numFmtId="0" fontId="14" fillId="2" borderId="4" xfId="0" applyFont="1" applyFill="1" applyBorder="1" applyAlignment="1">
      <alignment horizontal="left" vertical="top"/>
    </xf>
    <xf numFmtId="0" fontId="14" fillId="2" borderId="0" xfId="0" applyFont="1" applyFill="1" applyBorder="1" applyAlignment="1">
      <alignment horizontal="center" vertical="top"/>
    </xf>
    <xf numFmtId="168" fontId="29" fillId="2" borderId="0" xfId="0" applyNumberFormat="1" applyFont="1" applyFill="1" applyAlignment="1">
      <alignment horizontal="left" vertical="center"/>
    </xf>
    <xf numFmtId="169" fontId="69" fillId="0" borderId="0" xfId="1" applyNumberFormat="1" applyFont="1" applyFill="1" applyAlignment="1"/>
    <xf numFmtId="2" fontId="69" fillId="0" borderId="0" xfId="1" applyNumberFormat="1" applyFont="1" applyFill="1" applyAlignment="1"/>
    <xf numFmtId="169" fontId="39" fillId="0" borderId="0" xfId="4" applyNumberFormat="1" applyFont="1" applyFill="1" applyAlignment="1"/>
    <xf numFmtId="0" fontId="39" fillId="0" borderId="0" xfId="4" applyFont="1" applyFill="1" applyAlignment="1"/>
    <xf numFmtId="169" fontId="39" fillId="0" borderId="0" xfId="4" applyNumberFormat="1" applyFont="1"/>
    <xf numFmtId="0" fontId="39" fillId="0" borderId="0" xfId="4" applyFont="1"/>
    <xf numFmtId="168" fontId="25" fillId="2" borderId="0" xfId="0" applyNumberFormat="1" applyFont="1" applyFill="1" applyBorder="1" applyAlignment="1">
      <alignment horizontal="left" vertical="top"/>
    </xf>
    <xf numFmtId="0" fontId="24" fillId="2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0" fontId="3" fillId="2" borderId="2" xfId="956" applyFont="1" applyFill="1" applyBorder="1" applyAlignment="1">
      <alignment horizontal="center" vertical="top"/>
    </xf>
    <xf numFmtId="0" fontId="3" fillId="2" borderId="2" xfId="956" applyFont="1" applyFill="1" applyBorder="1" applyAlignment="1">
      <alignment vertical="top" wrapText="1"/>
    </xf>
    <xf numFmtId="0" fontId="3" fillId="2" borderId="2" xfId="956" quotePrefix="1" applyFont="1" applyFill="1" applyBorder="1" applyAlignment="1">
      <alignment vertical="top" wrapText="1"/>
    </xf>
    <xf numFmtId="0" fontId="3" fillId="5" borderId="4" xfId="956" applyFont="1" applyFill="1" applyBorder="1" applyAlignment="1">
      <alignment vertical="top" wrapText="1"/>
    </xf>
    <xf numFmtId="0" fontId="3" fillId="2" borderId="4" xfId="956" quotePrefix="1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0" fontId="3" fillId="2" borderId="16" xfId="956" applyFont="1" applyFill="1" applyBorder="1" applyAlignment="1">
      <alignment horizontal="center" vertical="top"/>
    </xf>
    <xf numFmtId="0" fontId="3" fillId="2" borderId="16" xfId="956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2" fillId="0" borderId="0" xfId="1232" applyFill="1" applyBorder="1" applyAlignment="1">
      <alignment vertical="center"/>
    </xf>
    <xf numFmtId="43" fontId="14" fillId="2" borderId="0" xfId="1" applyFont="1" applyFill="1" applyBorder="1" applyAlignment="1">
      <alignment horizontal="center" vertical="top"/>
    </xf>
    <xf numFmtId="43" fontId="14" fillId="11" borderId="4" xfId="1" applyFont="1" applyFill="1" applyBorder="1" applyAlignment="1">
      <alignment horizontal="center" vertical="top" wrapText="1"/>
    </xf>
    <xf numFmtId="37" fontId="14" fillId="11" borderId="4" xfId="1" applyNumberFormat="1" applyFont="1" applyFill="1" applyBorder="1" applyAlignment="1">
      <alignment horizontal="center" vertical="top" wrapText="1"/>
    </xf>
    <xf numFmtId="0" fontId="14" fillId="6" borderId="4" xfId="0" applyFont="1" applyFill="1" applyBorder="1" applyAlignment="1">
      <alignment horizontal="center" vertical="top" wrapText="1"/>
    </xf>
    <xf numFmtId="0" fontId="14" fillId="6" borderId="22" xfId="0" applyFont="1" applyFill="1" applyBorder="1" applyAlignment="1">
      <alignment vertical="top" wrapText="1"/>
    </xf>
    <xf numFmtId="0" fontId="14" fillId="6" borderId="41" xfId="0" applyFont="1" applyFill="1" applyBorder="1" applyAlignment="1">
      <alignment vertical="top" wrapText="1"/>
    </xf>
    <xf numFmtId="0" fontId="14" fillId="6" borderId="5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left" vertical="top"/>
    </xf>
    <xf numFmtId="167" fontId="3" fillId="0" borderId="0" xfId="0" applyNumberFormat="1" applyFont="1" applyFill="1" applyBorder="1" applyAlignment="1">
      <alignment vertical="top" wrapText="1"/>
    </xf>
    <xf numFmtId="166" fontId="3" fillId="0" borderId="0" xfId="0" applyNumberFormat="1" applyFont="1" applyFill="1" applyBorder="1" applyAlignment="1">
      <alignment horizontal="left" vertical="top"/>
    </xf>
    <xf numFmtId="0" fontId="3" fillId="11" borderId="16" xfId="0" applyFont="1" applyFill="1" applyBorder="1" applyAlignment="1">
      <alignment horizontal="center" vertical="top" wrapText="1"/>
    </xf>
    <xf numFmtId="37" fontId="3" fillId="11" borderId="16" xfId="1" applyNumberFormat="1" applyFont="1" applyFill="1" applyBorder="1" applyAlignment="1">
      <alignment horizontal="center" vertical="top" wrapText="1"/>
    </xf>
    <xf numFmtId="0" fontId="3" fillId="6" borderId="41" xfId="956" applyFont="1" applyFill="1" applyBorder="1" applyAlignment="1">
      <alignment horizontal="center" vertical="top"/>
    </xf>
    <xf numFmtId="43" fontId="3" fillId="6" borderId="41" xfId="8" applyFont="1" applyFill="1" applyBorder="1" applyAlignment="1">
      <alignment vertical="top"/>
    </xf>
    <xf numFmtId="0" fontId="3" fillId="6" borderId="41" xfId="956" applyFont="1" applyFill="1" applyBorder="1" applyAlignment="1">
      <alignment vertical="top" wrapText="1"/>
    </xf>
    <xf numFmtId="0" fontId="3" fillId="6" borderId="54" xfId="956" quotePrefix="1" applyFont="1" applyFill="1" applyBorder="1" applyAlignment="1">
      <alignment vertical="top" wrapText="1"/>
    </xf>
    <xf numFmtId="0" fontId="3" fillId="11" borderId="4" xfId="0" applyFont="1" applyFill="1" applyBorder="1" applyAlignment="1">
      <alignment horizontal="center" vertical="top" wrapText="1"/>
    </xf>
    <xf numFmtId="37" fontId="3" fillId="11" borderId="4" xfId="1" applyNumberFormat="1" applyFont="1" applyFill="1" applyBorder="1" applyAlignment="1">
      <alignment horizontal="center" vertical="top" wrapText="1"/>
    </xf>
    <xf numFmtId="168" fontId="26" fillId="2" borderId="0" xfId="0" applyNumberFormat="1" applyFont="1" applyFill="1" applyBorder="1" applyAlignment="1">
      <alignment horizontal="right" vertical="center"/>
    </xf>
    <xf numFmtId="43" fontId="1" fillId="0" borderId="0" xfId="483" applyNumberFormat="1"/>
    <xf numFmtId="169" fontId="70" fillId="0" borderId="0" xfId="4" applyNumberFormat="1" applyFont="1"/>
    <xf numFmtId="0" fontId="70" fillId="0" borderId="0" xfId="4" applyFont="1"/>
    <xf numFmtId="4" fontId="70" fillId="0" borderId="0" xfId="4" applyNumberFormat="1" applyFont="1"/>
    <xf numFmtId="169" fontId="71" fillId="0" borderId="0" xfId="4" applyNumberFormat="1" applyFont="1" applyFill="1" applyBorder="1" applyAlignment="1">
      <alignment horizontal="left" vertical="center"/>
    </xf>
    <xf numFmtId="0" fontId="70" fillId="0" borderId="0" xfId="4" applyFont="1" applyAlignment="1">
      <alignment horizontal="left" vertical="center"/>
    </xf>
    <xf numFmtId="169" fontId="70" fillId="0" borderId="0" xfId="4" applyNumberFormat="1" applyFont="1" applyFill="1" applyBorder="1"/>
    <xf numFmtId="169" fontId="71" fillId="0" borderId="0" xfId="4" applyNumberFormat="1" applyFont="1" applyFill="1" applyBorder="1"/>
    <xf numFmtId="169" fontId="71" fillId="0" borderId="0" xfId="4" applyNumberFormat="1" applyFont="1" applyFill="1" applyBorder="1" applyAlignment="1">
      <alignment horizontal="right"/>
    </xf>
    <xf numFmtId="166" fontId="70" fillId="0" borderId="0" xfId="4" applyNumberFormat="1" applyFont="1"/>
    <xf numFmtId="169" fontId="71" fillId="0" borderId="0" xfId="4" applyNumberFormat="1" applyFont="1" applyFill="1" applyBorder="1" applyAlignment="1">
      <alignment horizontal="right" vertical="center"/>
    </xf>
    <xf numFmtId="169" fontId="72" fillId="0" borderId="0" xfId="4" applyNumberFormat="1" applyFont="1" applyFill="1" applyBorder="1" applyAlignment="1">
      <alignment horizontal="right"/>
    </xf>
    <xf numFmtId="0" fontId="73" fillId="0" borderId="0" xfId="4" applyFont="1"/>
    <xf numFmtId="0" fontId="70" fillId="0" borderId="0" xfId="4" applyFont="1" applyAlignment="1">
      <alignment vertical="center"/>
    </xf>
    <xf numFmtId="169" fontId="74" fillId="0" borderId="0" xfId="4" applyNumberFormat="1" applyFont="1" applyFill="1" applyBorder="1" applyAlignment="1">
      <alignment horizontal="right"/>
    </xf>
    <xf numFmtId="0" fontId="75" fillId="0" borderId="0" xfId="4" applyFont="1"/>
    <xf numFmtId="169" fontId="73" fillId="0" borderId="0" xfId="4" applyNumberFormat="1" applyFont="1"/>
    <xf numFmtId="169" fontId="70" fillId="0" borderId="0" xfId="4" applyNumberFormat="1" applyFont="1" applyAlignment="1">
      <alignment vertical="center"/>
    </xf>
    <xf numFmtId="169" fontId="70" fillId="0" borderId="0" xfId="4" applyNumberFormat="1" applyFont="1" applyAlignment="1">
      <alignment horizontal="left" vertical="center"/>
    </xf>
    <xf numFmtId="43" fontId="70" fillId="0" borderId="0" xfId="4" applyNumberFormat="1" applyFont="1"/>
    <xf numFmtId="168" fontId="25" fillId="0" borderId="0" xfId="0" applyNumberFormat="1" applyFont="1" applyFill="1" applyBorder="1" applyAlignment="1">
      <alignment horizontal="left" vertical="center"/>
    </xf>
    <xf numFmtId="43" fontId="14" fillId="11" borderId="4" xfId="1" applyFont="1" applyFill="1" applyBorder="1" applyAlignment="1">
      <alignment horizontal="center" vertical="top" wrapText="1"/>
    </xf>
    <xf numFmtId="43" fontId="14" fillId="11" borderId="16" xfId="1" applyFont="1" applyFill="1" applyBorder="1" applyAlignment="1">
      <alignment horizontal="center" vertical="top" wrapText="1"/>
    </xf>
    <xf numFmtId="2" fontId="9" fillId="18" borderId="0" xfId="4" applyNumberFormat="1" applyFont="1" applyFill="1" applyAlignment="1">
      <alignment horizontal="center"/>
    </xf>
    <xf numFmtId="0" fontId="0" fillId="0" borderId="0" xfId="483" applyFont="1" applyAlignment="1">
      <alignment horizontal="right"/>
    </xf>
    <xf numFmtId="43" fontId="14" fillId="11" borderId="4" xfId="1" applyFont="1" applyFill="1" applyBorder="1" applyAlignment="1">
      <alignment horizontal="center" vertical="top" wrapText="1"/>
    </xf>
    <xf numFmtId="43" fontId="14" fillId="11" borderId="16" xfId="1" applyFont="1" applyFill="1" applyBorder="1" applyAlignment="1">
      <alignment horizontal="center" vertical="top" wrapText="1"/>
    </xf>
    <xf numFmtId="0" fontId="3" fillId="0" borderId="4" xfId="709" applyFont="1" applyFill="1" applyBorder="1" applyAlignment="1">
      <alignment vertical="top" wrapText="1"/>
    </xf>
    <xf numFmtId="0" fontId="3" fillId="0" borderId="4" xfId="956" quotePrefix="1" applyFont="1" applyFill="1" applyBorder="1" applyAlignment="1">
      <alignment vertical="top" wrapText="1"/>
    </xf>
    <xf numFmtId="0" fontId="64" fillId="0" borderId="4" xfId="4" applyFont="1" applyBorder="1" applyAlignment="1">
      <alignment horizontal="left" vertical="center"/>
    </xf>
    <xf numFmtId="0" fontId="77" fillId="2" borderId="0" xfId="4" applyFont="1" applyFill="1" applyAlignment="1">
      <alignment vertical="center"/>
    </xf>
    <xf numFmtId="2" fontId="77" fillId="2" borderId="0" xfId="4" applyNumberFormat="1" applyFont="1" applyFill="1" applyAlignment="1">
      <alignment horizontal="center" vertical="center"/>
    </xf>
    <xf numFmtId="2" fontId="77" fillId="2" borderId="0" xfId="4" applyNumberFormat="1" applyFont="1" applyFill="1" applyAlignment="1"/>
    <xf numFmtId="2" fontId="77" fillId="2" borderId="0" xfId="1" applyNumberFormat="1" applyFont="1" applyFill="1" applyAlignment="1"/>
    <xf numFmtId="2" fontId="77" fillId="2" borderId="0" xfId="1" applyNumberFormat="1" applyFont="1" applyFill="1" applyAlignment="1">
      <alignment horizontal="center"/>
    </xf>
    <xf numFmtId="2" fontId="78" fillId="2" borderId="0" xfId="1" applyNumberFormat="1" applyFont="1" applyFill="1"/>
    <xf numFmtId="165" fontId="78" fillId="2" borderId="0" xfId="1" applyNumberFormat="1" applyFont="1" applyFill="1"/>
    <xf numFmtId="43" fontId="77" fillId="2" borderId="0" xfId="1" applyFont="1" applyFill="1" applyAlignment="1">
      <alignment horizontal="center"/>
    </xf>
    <xf numFmtId="170" fontId="78" fillId="0" borderId="0" xfId="1" applyNumberFormat="1" applyFont="1" applyFill="1"/>
    <xf numFmtId="0" fontId="78" fillId="0" borderId="0" xfId="4" applyFont="1" applyFill="1"/>
    <xf numFmtId="0" fontId="78" fillId="0" borderId="0" xfId="4" applyFont="1"/>
    <xf numFmtId="2" fontId="77" fillId="2" borderId="0" xfId="4" applyNumberFormat="1" applyFont="1" applyFill="1" applyAlignment="1">
      <alignment horizontal="center"/>
    </xf>
    <xf numFmtId="4" fontId="78" fillId="0" borderId="0" xfId="4" applyNumberFormat="1" applyFont="1" applyFill="1"/>
    <xf numFmtId="43" fontId="80" fillId="9" borderId="48" xfId="1" applyFont="1" applyFill="1" applyBorder="1" applyAlignment="1">
      <alignment horizontal="center" vertical="center"/>
    </xf>
    <xf numFmtId="43" fontId="80" fillId="9" borderId="48" xfId="1" applyFont="1" applyFill="1" applyBorder="1" applyAlignment="1">
      <alignment vertical="center"/>
    </xf>
    <xf numFmtId="43" fontId="80" fillId="9" borderId="42" xfId="1" applyFont="1" applyFill="1" applyBorder="1" applyAlignment="1">
      <alignment vertical="center"/>
    </xf>
    <xf numFmtId="43" fontId="80" fillId="9" borderId="2" xfId="1" applyFont="1" applyFill="1" applyBorder="1" applyAlignment="1">
      <alignment vertical="center"/>
    </xf>
    <xf numFmtId="43" fontId="81" fillId="2" borderId="2" xfId="1" applyFont="1" applyFill="1" applyBorder="1" applyAlignment="1">
      <alignment horizontal="right" vertical="center"/>
    </xf>
    <xf numFmtId="43" fontId="81" fillId="2" borderId="3" xfId="1" applyFont="1" applyFill="1" applyBorder="1" applyAlignment="1">
      <alignment horizontal="right" vertical="center"/>
    </xf>
    <xf numFmtId="43" fontId="81" fillId="2" borderId="4" xfId="1" applyFont="1" applyFill="1" applyBorder="1" applyAlignment="1">
      <alignment horizontal="right" vertical="center"/>
    </xf>
    <xf numFmtId="43" fontId="81" fillId="2" borderId="5" xfId="1" applyFont="1" applyFill="1" applyBorder="1" applyAlignment="1">
      <alignment horizontal="right" vertical="center"/>
    </xf>
    <xf numFmtId="43" fontId="81" fillId="2" borderId="58" xfId="1" applyFont="1" applyFill="1" applyBorder="1" applyAlignment="1">
      <alignment horizontal="right" vertical="center"/>
    </xf>
    <xf numFmtId="167" fontId="82" fillId="0" borderId="0" xfId="1" applyNumberFormat="1" applyFont="1" applyFill="1" applyAlignment="1">
      <alignment vertical="center" wrapText="1"/>
    </xf>
    <xf numFmtId="0" fontId="78" fillId="2" borderId="0" xfId="4" applyFont="1" applyFill="1"/>
    <xf numFmtId="43" fontId="80" fillId="9" borderId="41" xfId="1" applyFont="1" applyFill="1" applyBorder="1" applyAlignment="1">
      <alignment vertical="center"/>
    </xf>
    <xf numFmtId="43" fontId="80" fillId="9" borderId="38" xfId="1" applyFont="1" applyFill="1" applyBorder="1" applyAlignment="1">
      <alignment vertical="center"/>
    </xf>
    <xf numFmtId="0" fontId="77" fillId="2" borderId="0" xfId="4" applyFont="1" applyFill="1" applyAlignment="1">
      <alignment horizontal="left" vertical="center"/>
    </xf>
    <xf numFmtId="43" fontId="81" fillId="2" borderId="54" xfId="1" applyFont="1" applyFill="1" applyBorder="1" applyAlignment="1">
      <alignment horizontal="right" vertical="center"/>
    </xf>
    <xf numFmtId="170" fontId="78" fillId="0" borderId="0" xfId="1" applyNumberFormat="1" applyFont="1" applyFill="1" applyBorder="1" applyAlignment="1">
      <alignment horizontal="left" vertical="center"/>
    </xf>
    <xf numFmtId="0" fontId="78" fillId="0" borderId="0" xfId="4" applyFont="1" applyFill="1" applyAlignment="1">
      <alignment horizontal="left" vertical="center"/>
    </xf>
    <xf numFmtId="0" fontId="78" fillId="2" borderId="0" xfId="4" applyFont="1" applyFill="1" applyAlignment="1">
      <alignment horizontal="left" vertical="center"/>
    </xf>
    <xf numFmtId="43" fontId="81" fillId="2" borderId="16" xfId="1" applyFont="1" applyFill="1" applyBorder="1" applyAlignment="1">
      <alignment horizontal="right" vertical="center"/>
    </xf>
    <xf numFmtId="43" fontId="81" fillId="2" borderId="17" xfId="1" applyFont="1" applyFill="1" applyBorder="1" applyAlignment="1">
      <alignment horizontal="right" vertical="center"/>
    </xf>
    <xf numFmtId="43" fontId="82" fillId="2" borderId="58" xfId="1" applyFont="1" applyFill="1" applyBorder="1"/>
    <xf numFmtId="170" fontId="78" fillId="0" borderId="0" xfId="1" applyNumberFormat="1" applyFont="1" applyFill="1" applyBorder="1"/>
    <xf numFmtId="0" fontId="82" fillId="0" borderId="0" xfId="4" applyFont="1" applyFill="1"/>
    <xf numFmtId="0" fontId="82" fillId="2" borderId="0" xfId="4" applyFont="1" applyFill="1"/>
    <xf numFmtId="43" fontId="82" fillId="2" borderId="54" xfId="1" applyFont="1" applyFill="1" applyBorder="1"/>
    <xf numFmtId="43" fontId="83" fillId="2" borderId="4" xfId="1" applyFont="1" applyFill="1" applyBorder="1" applyAlignment="1">
      <alignment horizontal="right" vertical="center"/>
    </xf>
    <xf numFmtId="43" fontId="83" fillId="2" borderId="5" xfId="1" applyFont="1" applyFill="1" applyBorder="1" applyAlignment="1">
      <alignment horizontal="right" vertical="center"/>
    </xf>
    <xf numFmtId="170" fontId="78" fillId="0" borderId="0" xfId="1" applyNumberFormat="1" applyFont="1" applyFill="1" applyBorder="1" applyAlignment="1">
      <alignment horizontal="right"/>
    </xf>
    <xf numFmtId="166" fontId="82" fillId="0" borderId="0" xfId="4" applyNumberFormat="1" applyFont="1" applyFill="1"/>
    <xf numFmtId="43" fontId="82" fillId="2" borderId="57" xfId="1" applyFont="1" applyFill="1" applyBorder="1"/>
    <xf numFmtId="43" fontId="81" fillId="2" borderId="20" xfId="1" applyFont="1" applyFill="1" applyBorder="1" applyAlignment="1">
      <alignment horizontal="right" vertical="center"/>
    </xf>
    <xf numFmtId="43" fontId="78" fillId="2" borderId="59" xfId="1" applyFont="1" applyFill="1" applyBorder="1" applyAlignment="1">
      <alignment vertical="center"/>
    </xf>
    <xf numFmtId="43" fontId="81" fillId="2" borderId="21" xfId="1" applyFont="1" applyFill="1" applyBorder="1" applyAlignment="1">
      <alignment horizontal="right" vertical="center"/>
    </xf>
    <xf numFmtId="170" fontId="78" fillId="0" borderId="0" xfId="1" applyNumberFormat="1" applyFont="1" applyFill="1" applyBorder="1" applyAlignment="1">
      <alignment horizontal="right" vertical="center"/>
    </xf>
    <xf numFmtId="0" fontId="78" fillId="0" borderId="0" xfId="4" applyFont="1" applyFill="1" applyAlignment="1">
      <alignment vertical="center"/>
    </xf>
    <xf numFmtId="43" fontId="78" fillId="0" borderId="0" xfId="4" applyNumberFormat="1" applyFont="1" applyFill="1" applyAlignment="1">
      <alignment vertical="center"/>
    </xf>
    <xf numFmtId="0" fontId="78" fillId="2" borderId="0" xfId="4" applyFont="1" applyFill="1" applyAlignment="1">
      <alignment vertical="center"/>
    </xf>
    <xf numFmtId="43" fontId="80" fillId="6" borderId="44" xfId="1" applyFont="1" applyFill="1" applyBorder="1" applyAlignment="1">
      <alignment horizontal="right" vertical="center"/>
    </xf>
    <xf numFmtId="43" fontId="80" fillId="6" borderId="46" xfId="1" applyFont="1" applyFill="1" applyBorder="1" applyAlignment="1">
      <alignment horizontal="right" vertical="center"/>
    </xf>
    <xf numFmtId="43" fontId="81" fillId="6" borderId="49" xfId="1" applyFont="1" applyFill="1" applyBorder="1" applyAlignment="1">
      <alignment horizontal="right" vertical="center"/>
    </xf>
    <xf numFmtId="170" fontId="78" fillId="0" borderId="0" xfId="1" applyNumberFormat="1" applyFont="1" applyFill="1" applyAlignment="1">
      <alignment vertical="center"/>
    </xf>
    <xf numFmtId="43" fontId="81" fillId="6" borderId="53" xfId="1" applyFont="1" applyFill="1" applyBorder="1" applyAlignment="1">
      <alignment horizontal="right" vertical="center"/>
    </xf>
    <xf numFmtId="0" fontId="77" fillId="0" borderId="0" xfId="4" applyFont="1" applyFill="1" applyAlignment="1">
      <alignment horizontal="center" vertical="center"/>
    </xf>
    <xf numFmtId="165" fontId="78" fillId="0" borderId="0" xfId="1" applyNumberFormat="1" applyFont="1" applyFill="1"/>
    <xf numFmtId="43" fontId="78" fillId="0" borderId="0" xfId="1" applyFont="1" applyFill="1"/>
    <xf numFmtId="168" fontId="81" fillId="0" borderId="0" xfId="1" applyNumberFormat="1" applyFont="1" applyFill="1" applyAlignment="1">
      <alignment horizontal="right"/>
    </xf>
    <xf numFmtId="0" fontId="77" fillId="0" borderId="0" xfId="4" applyFont="1" applyAlignment="1">
      <alignment horizontal="center" vertical="center"/>
    </xf>
    <xf numFmtId="43" fontId="78" fillId="2" borderId="0" xfId="1" applyFont="1" applyFill="1"/>
    <xf numFmtId="0" fontId="84" fillId="2" borderId="0" xfId="4" applyFont="1" applyFill="1" applyAlignment="1">
      <alignment vertical="center"/>
    </xf>
    <xf numFmtId="0" fontId="85" fillId="0" borderId="0" xfId="4" applyFont="1"/>
    <xf numFmtId="165" fontId="85" fillId="0" borderId="0" xfId="1" applyNumberFormat="1" applyFont="1" applyFill="1"/>
    <xf numFmtId="0" fontId="85" fillId="0" borderId="0" xfId="4" applyFont="1" applyFill="1"/>
    <xf numFmtId="169" fontId="86" fillId="0" borderId="0" xfId="4" applyNumberFormat="1" applyFont="1" applyFill="1" applyAlignment="1"/>
    <xf numFmtId="0" fontId="86" fillId="0" borderId="0" xfId="4" applyFont="1" applyFill="1" applyAlignment="1"/>
    <xf numFmtId="0" fontId="85" fillId="0" borderId="0" xfId="4" applyFont="1" applyFill="1" applyAlignment="1"/>
    <xf numFmtId="169" fontId="86" fillId="0" borderId="0" xfId="4" applyNumberFormat="1" applyFont="1"/>
    <xf numFmtId="0" fontId="86" fillId="0" borderId="0" xfId="4" applyFont="1"/>
    <xf numFmtId="0" fontId="87" fillId="2" borderId="0" xfId="4" applyFont="1" applyFill="1" applyAlignment="1">
      <alignment vertical="center"/>
    </xf>
    <xf numFmtId="0" fontId="88" fillId="0" borderId="0" xfId="4" applyFont="1"/>
    <xf numFmtId="165" fontId="88" fillId="0" borderId="0" xfId="1" applyNumberFormat="1" applyFont="1" applyFill="1"/>
    <xf numFmtId="169" fontId="89" fillId="0" borderId="0" xfId="4" applyNumberFormat="1" applyFont="1"/>
    <xf numFmtId="0" fontId="89" fillId="0" borderId="0" xfId="4" applyFont="1"/>
    <xf numFmtId="4" fontId="89" fillId="0" borderId="0" xfId="4" applyNumberFormat="1" applyFont="1"/>
    <xf numFmtId="0" fontId="87" fillId="2" borderId="0" xfId="4" applyFont="1" applyFill="1" applyAlignment="1">
      <alignment horizontal="left" vertical="center"/>
    </xf>
    <xf numFmtId="165" fontId="88" fillId="0" borderId="0" xfId="1" applyNumberFormat="1" applyFont="1" applyFill="1" applyAlignment="1">
      <alignment horizontal="left" vertical="center"/>
    </xf>
    <xf numFmtId="169" fontId="90" fillId="0" borderId="0" xfId="4" applyNumberFormat="1" applyFont="1" applyFill="1" applyBorder="1" applyAlignment="1">
      <alignment horizontal="left" vertical="center"/>
    </xf>
    <xf numFmtId="0" fontId="89" fillId="0" borderId="0" xfId="4" applyFont="1" applyAlignment="1">
      <alignment horizontal="left" vertical="center"/>
    </xf>
    <xf numFmtId="0" fontId="88" fillId="0" borderId="0" xfId="4" applyFont="1" applyAlignment="1">
      <alignment horizontal="left" vertical="center"/>
    </xf>
    <xf numFmtId="169" fontId="89" fillId="0" borderId="0" xfId="4" applyNumberFormat="1" applyFont="1" applyFill="1" applyBorder="1"/>
    <xf numFmtId="169" fontId="90" fillId="0" borderId="0" xfId="4" applyNumberFormat="1" applyFont="1" applyFill="1" applyBorder="1"/>
    <xf numFmtId="0" fontId="91" fillId="0" borderId="0" xfId="4" applyFont="1"/>
    <xf numFmtId="169" fontId="90" fillId="0" borderId="0" xfId="4" applyNumberFormat="1" applyFont="1" applyFill="1" applyBorder="1" applyAlignment="1">
      <alignment horizontal="right"/>
    </xf>
    <xf numFmtId="166" fontId="89" fillId="0" borderId="0" xfId="4" applyNumberFormat="1" applyFont="1"/>
    <xf numFmtId="166" fontId="91" fillId="0" borderId="0" xfId="4" applyNumberFormat="1" applyFont="1"/>
    <xf numFmtId="169" fontId="90" fillId="0" borderId="0" xfId="4" applyNumberFormat="1" applyFont="1" applyFill="1" applyBorder="1" applyAlignment="1">
      <alignment horizontal="right" vertical="center"/>
    </xf>
    <xf numFmtId="165" fontId="92" fillId="0" borderId="0" xfId="1" applyNumberFormat="1" applyFont="1" applyFill="1"/>
    <xf numFmtId="169" fontId="93" fillId="0" borderId="0" xfId="4" applyNumberFormat="1" applyFont="1" applyFill="1" applyBorder="1" applyAlignment="1">
      <alignment horizontal="right"/>
    </xf>
    <xf numFmtId="0" fontId="94" fillId="0" borderId="0" xfId="4" applyFont="1"/>
    <xf numFmtId="0" fontId="92" fillId="0" borderId="0" xfId="4" applyFont="1"/>
    <xf numFmtId="165" fontId="88" fillId="0" borderId="0" xfId="1" applyNumberFormat="1" applyFont="1" applyFill="1" applyAlignment="1">
      <alignment vertical="center"/>
    </xf>
    <xf numFmtId="0" fontId="89" fillId="0" borderId="0" xfId="4" applyFont="1" applyAlignment="1">
      <alignment vertical="center"/>
    </xf>
    <xf numFmtId="43" fontId="88" fillId="0" borderId="0" xfId="4" applyNumberFormat="1" applyFont="1" applyAlignment="1">
      <alignment vertical="center"/>
    </xf>
    <xf numFmtId="0" fontId="88" fillId="0" borderId="0" xfId="4" applyFont="1" applyAlignment="1">
      <alignment vertical="center"/>
    </xf>
    <xf numFmtId="0" fontId="95" fillId="2" borderId="0" xfId="4" applyFont="1" applyFill="1" applyAlignment="1">
      <alignment vertical="center"/>
    </xf>
    <xf numFmtId="165" fontId="96" fillId="0" borderId="0" xfId="1" applyNumberFormat="1" applyFont="1" applyFill="1"/>
    <xf numFmtId="169" fontId="97" fillId="0" borderId="0" xfId="4" applyNumberFormat="1" applyFont="1" applyFill="1" applyBorder="1" applyAlignment="1">
      <alignment horizontal="right"/>
    </xf>
    <xf numFmtId="0" fontId="98" fillId="0" borderId="0" xfId="4" applyFont="1"/>
    <xf numFmtId="0" fontId="96" fillId="0" borderId="0" xfId="4" applyFont="1"/>
    <xf numFmtId="169" fontId="94" fillId="0" borderId="0" xfId="4" applyNumberFormat="1" applyFont="1"/>
    <xf numFmtId="165" fontId="99" fillId="0" borderId="0" xfId="1" applyNumberFormat="1" applyFont="1" applyFill="1"/>
    <xf numFmtId="0" fontId="99" fillId="0" borderId="0" xfId="4" applyFont="1"/>
    <xf numFmtId="43" fontId="88" fillId="0" borderId="0" xfId="4" applyNumberFormat="1" applyFont="1"/>
    <xf numFmtId="169" fontId="89" fillId="0" borderId="0" xfId="4" applyNumberFormat="1" applyFont="1" applyAlignment="1">
      <alignment horizontal="left" vertical="center"/>
    </xf>
    <xf numFmtId="0" fontId="91" fillId="0" borderId="0" xfId="4" applyFont="1" applyAlignment="1">
      <alignment horizontal="left" vertical="center"/>
    </xf>
    <xf numFmtId="0" fontId="100" fillId="2" borderId="0" xfId="4" applyFont="1" applyFill="1" applyAlignment="1">
      <alignment vertical="center"/>
    </xf>
    <xf numFmtId="43" fontId="89" fillId="0" borderId="0" xfId="4" applyNumberFormat="1" applyFont="1"/>
    <xf numFmtId="0" fontId="88" fillId="0" borderId="0" xfId="4" applyFont="1" applyFill="1"/>
    <xf numFmtId="0" fontId="100" fillId="0" borderId="0" xfId="4" applyFont="1" applyFill="1" applyAlignment="1">
      <alignment vertical="center"/>
    </xf>
    <xf numFmtId="0" fontId="100" fillId="0" borderId="0" xfId="4" applyFont="1" applyFill="1"/>
    <xf numFmtId="0" fontId="100" fillId="0" borderId="0" xfId="4" applyFont="1" applyFill="1" applyBorder="1"/>
    <xf numFmtId="0" fontId="101" fillId="0" borderId="0" xfId="4" applyFont="1" applyFill="1" applyAlignment="1">
      <alignment vertical="center"/>
    </xf>
    <xf numFmtId="0" fontId="101" fillId="0" borderId="0" xfId="4" applyFont="1" applyFill="1"/>
    <xf numFmtId="0" fontId="88" fillId="0" borderId="0" xfId="4" applyFont="1" applyFill="1" applyAlignment="1">
      <alignment vertical="center"/>
    </xf>
    <xf numFmtId="0" fontId="6" fillId="0" borderId="0" xfId="0" applyFont="1" applyFill="1" applyBorder="1" applyAlignment="1">
      <alignment horizontal="center" vertical="top" wrapText="1"/>
    </xf>
    <xf numFmtId="0" fontId="104" fillId="0" borderId="0" xfId="0" applyFont="1" applyFill="1" applyBorder="1" applyAlignment="1">
      <alignment horizontal="center"/>
    </xf>
    <xf numFmtId="0" fontId="103" fillId="0" borderId="0" xfId="0" applyFont="1" applyFill="1" applyBorder="1"/>
    <xf numFmtId="0" fontId="13" fillId="0" borderId="0" xfId="0" applyFont="1" applyFill="1" applyBorder="1" applyAlignment="1"/>
    <xf numFmtId="0" fontId="103" fillId="0" borderId="0" xfId="0" applyFont="1" applyFill="1" applyBorder="1" applyAlignment="1">
      <alignment horizontal="center"/>
    </xf>
    <xf numFmtId="43" fontId="6" fillId="0" borderId="0" xfId="1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43" fontId="103" fillId="0" borderId="0" xfId="1" applyNumberFormat="1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10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6" applyFont="1" applyFill="1" applyBorder="1" applyAlignment="1">
      <alignment vertical="top" wrapText="1"/>
    </xf>
    <xf numFmtId="4" fontId="6" fillId="0" borderId="0" xfId="6" applyNumberFormat="1" applyFont="1" applyFill="1" applyBorder="1" applyAlignment="1">
      <alignment vertical="top" wrapText="1"/>
    </xf>
    <xf numFmtId="4" fontId="104" fillId="0" borderId="0" xfId="6" applyNumberFormat="1" applyFont="1" applyFill="1" applyBorder="1" applyAlignment="1">
      <alignment vertical="top" wrapText="1"/>
    </xf>
    <xf numFmtId="4" fontId="6" fillId="0" borderId="0" xfId="6" applyNumberFormat="1" applyFont="1" applyFill="1" applyBorder="1" applyAlignment="1">
      <alignment horizontal="center" vertical="top" wrapText="1"/>
    </xf>
    <xf numFmtId="4" fontId="104" fillId="0" borderId="0" xfId="6" applyNumberFormat="1" applyFont="1" applyFill="1" applyBorder="1" applyAlignment="1">
      <alignment horizontal="center" vertical="top" wrapText="1"/>
    </xf>
    <xf numFmtId="0" fontId="105" fillId="0" borderId="0" xfId="0" applyFont="1" applyFill="1" applyBorder="1" applyAlignment="1">
      <alignment horizontal="center"/>
    </xf>
    <xf numFmtId="0" fontId="103" fillId="0" borderId="0" xfId="0" applyFont="1" applyFill="1" applyBorder="1" applyAlignment="1">
      <alignment horizontal="right"/>
    </xf>
    <xf numFmtId="43" fontId="6" fillId="0" borderId="0" xfId="1" applyFont="1" applyFill="1" applyBorder="1" applyAlignment="1">
      <alignment horizontal="right"/>
    </xf>
    <xf numFmtId="43" fontId="103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right" vertical="top" wrapText="1"/>
    </xf>
    <xf numFmtId="43" fontId="104" fillId="0" borderId="0" xfId="1" applyFont="1" applyFill="1" applyBorder="1" applyAlignment="1">
      <alignment horizontal="right" vertical="top" wrapText="1"/>
    </xf>
    <xf numFmtId="0" fontId="6" fillId="0" borderId="0" xfId="0" applyFont="1" applyFill="1" applyBorder="1" applyAlignment="1"/>
    <xf numFmtId="0" fontId="2" fillId="6" borderId="4" xfId="0" applyFont="1" applyFill="1" applyBorder="1" applyAlignment="1">
      <alignment horizontal="center" vertical="top" wrapText="1"/>
    </xf>
    <xf numFmtId="43" fontId="2" fillId="6" borderId="4" xfId="1" applyFont="1" applyFill="1" applyBorder="1" applyAlignment="1">
      <alignment horizontal="center" vertical="top" wrapText="1"/>
    </xf>
    <xf numFmtId="0" fontId="106" fillId="9" borderId="0" xfId="0" applyFont="1" applyFill="1" applyBorder="1"/>
    <xf numFmtId="0" fontId="6" fillId="9" borderId="0" xfId="0" applyFont="1" applyFill="1" applyBorder="1" applyAlignment="1"/>
    <xf numFmtId="0" fontId="103" fillId="9" borderId="0" xfId="0" applyFont="1" applyFill="1" applyBorder="1"/>
    <xf numFmtId="0" fontId="103" fillId="9" borderId="0" xfId="0" applyFont="1" applyFill="1" applyBorder="1" applyAlignment="1">
      <alignment horizontal="center"/>
    </xf>
    <xf numFmtId="0" fontId="103" fillId="9" borderId="0" xfId="0" applyFont="1" applyFill="1" applyBorder="1" applyAlignment="1">
      <alignment horizontal="right"/>
    </xf>
    <xf numFmtId="43" fontId="103" fillId="9" borderId="0" xfId="1" applyFont="1" applyFill="1" applyBorder="1" applyAlignment="1">
      <alignment horizontal="right"/>
    </xf>
    <xf numFmtId="0" fontId="14" fillId="11" borderId="4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left" vertical="top"/>
    </xf>
    <xf numFmtId="0" fontId="14" fillId="2" borderId="0" xfId="0" applyFont="1" applyFill="1" applyBorder="1" applyAlignment="1">
      <alignment horizontal="center" vertical="top"/>
    </xf>
    <xf numFmtId="43" fontId="14" fillId="11" borderId="4" xfId="1" applyFont="1" applyFill="1" applyBorder="1" applyAlignment="1">
      <alignment horizontal="center" vertical="top" wrapText="1"/>
    </xf>
    <xf numFmtId="0" fontId="14" fillId="5" borderId="16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9" fontId="20" fillId="2" borderId="0" xfId="0" applyNumberFormat="1" applyFont="1" applyFill="1" applyBorder="1" applyAlignment="1">
      <alignment horizontal="center" vertical="top"/>
    </xf>
    <xf numFmtId="0" fontId="20" fillId="2" borderId="0" xfId="0" applyFont="1" applyFill="1" applyBorder="1" applyAlignment="1">
      <alignment horizontal="center" vertical="top"/>
    </xf>
    <xf numFmtId="0" fontId="20" fillId="11" borderId="16" xfId="0" applyFont="1" applyFill="1" applyBorder="1" applyAlignment="1">
      <alignment horizontal="center" vertical="top" wrapText="1"/>
    </xf>
    <xf numFmtId="0" fontId="20" fillId="2" borderId="2" xfId="956" applyFont="1" applyFill="1" applyBorder="1" applyAlignment="1">
      <alignment horizontal="center" vertical="top"/>
    </xf>
    <xf numFmtId="0" fontId="20" fillId="2" borderId="4" xfId="956" applyFont="1" applyFill="1" applyBorder="1" applyAlignment="1">
      <alignment horizontal="center" vertical="top"/>
    </xf>
    <xf numFmtId="0" fontId="20" fillId="2" borderId="16" xfId="956" applyFont="1" applyFill="1" applyBorder="1" applyAlignment="1">
      <alignment horizontal="center" vertical="top"/>
    </xf>
    <xf numFmtId="0" fontId="20" fillId="6" borderId="41" xfId="956" applyFont="1" applyFill="1" applyBorder="1" applyAlignment="1">
      <alignment horizontal="center" vertical="top"/>
    </xf>
    <xf numFmtId="43" fontId="20" fillId="2" borderId="0" xfId="1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 wrapText="1"/>
    </xf>
    <xf numFmtId="167" fontId="20" fillId="0" borderId="0" xfId="0" applyNumberFormat="1" applyFont="1" applyFill="1" applyBorder="1" applyAlignment="1">
      <alignment horizontal="center" vertical="top"/>
    </xf>
    <xf numFmtId="166" fontId="20" fillId="0" borderId="0" xfId="0" applyNumberFormat="1" applyFont="1" applyFill="1" applyBorder="1" applyAlignment="1">
      <alignment horizontal="center" vertical="top"/>
    </xf>
    <xf numFmtId="37" fontId="24" fillId="5" borderId="4" xfId="1" applyNumberFormat="1" applyFont="1" applyFill="1" applyBorder="1" applyAlignment="1">
      <alignment horizontal="center" vertical="top" wrapText="1"/>
    </xf>
    <xf numFmtId="43" fontId="20" fillId="2" borderId="0" xfId="1" applyFont="1" applyFill="1" applyBorder="1" applyAlignment="1">
      <alignment vertical="top"/>
    </xf>
    <xf numFmtId="43" fontId="24" fillId="2" borderId="0" xfId="1" applyFont="1" applyFill="1" applyBorder="1" applyAlignment="1">
      <alignment horizontal="center" vertical="top"/>
    </xf>
    <xf numFmtId="0" fontId="24" fillId="6" borderId="41" xfId="0" applyFont="1" applyFill="1" applyBorder="1" applyAlignment="1">
      <alignment vertical="top" wrapText="1"/>
    </xf>
    <xf numFmtId="43" fontId="20" fillId="2" borderId="4" xfId="1" applyFont="1" applyFill="1" applyBorder="1" applyAlignment="1">
      <alignment horizontal="center" vertical="top" wrapText="1"/>
    </xf>
    <xf numFmtId="43" fontId="20" fillId="2" borderId="4" xfId="1" applyFont="1" applyFill="1" applyBorder="1" applyAlignment="1">
      <alignment vertical="top"/>
    </xf>
    <xf numFmtId="43" fontId="20" fillId="0" borderId="4" xfId="1" applyFont="1" applyFill="1" applyBorder="1" applyAlignment="1">
      <alignment vertical="top"/>
    </xf>
    <xf numFmtId="43" fontId="20" fillId="0" borderId="0" xfId="1" applyFont="1" applyFill="1" applyBorder="1" applyAlignment="1">
      <alignment vertical="top"/>
    </xf>
    <xf numFmtId="43" fontId="20" fillId="0" borderId="0" xfId="1" applyFont="1" applyFill="1" applyBorder="1" applyAlignment="1">
      <alignment horizontal="center" vertical="top"/>
    </xf>
    <xf numFmtId="43" fontId="20" fillId="0" borderId="0" xfId="1" applyFont="1" applyFill="1" applyBorder="1" applyAlignment="1">
      <alignment horizontal="center" vertical="top" wrapText="1"/>
    </xf>
    <xf numFmtId="9" fontId="24" fillId="0" borderId="0" xfId="2" applyFont="1" applyFill="1" applyBorder="1" applyAlignment="1">
      <alignment horizontal="center" vertical="top"/>
    </xf>
    <xf numFmtId="0" fontId="50" fillId="0" borderId="0" xfId="483" applyFont="1" applyBorder="1" applyAlignment="1">
      <alignment horizontal="right"/>
    </xf>
    <xf numFmtId="43" fontId="50" fillId="0" borderId="0" xfId="1" applyFont="1" applyBorder="1"/>
    <xf numFmtId="166" fontId="50" fillId="0" borderId="0" xfId="483" applyNumberFormat="1" applyFont="1" applyBorder="1" applyAlignment="1">
      <alignment horizontal="right"/>
    </xf>
    <xf numFmtId="43" fontId="1" fillId="0" borderId="0" xfId="1" applyBorder="1"/>
    <xf numFmtId="0" fontId="1" fillId="0" borderId="0" xfId="483" applyBorder="1"/>
    <xf numFmtId="0" fontId="0" fillId="0" borderId="4" xfId="483" applyFont="1" applyBorder="1" applyAlignment="1">
      <alignment horizontal="center"/>
    </xf>
    <xf numFmtId="166" fontId="50" fillId="0" borderId="0" xfId="483" applyNumberFormat="1" applyFont="1" applyBorder="1" applyAlignment="1">
      <alignment horizontal="center"/>
    </xf>
    <xf numFmtId="43" fontId="22" fillId="2" borderId="0" xfId="1232" applyNumberForma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43" fontId="20" fillId="0" borderId="2" xfId="1" applyFont="1" applyFill="1" applyBorder="1" applyAlignment="1">
      <alignment vertical="top"/>
    </xf>
    <xf numFmtId="43" fontId="3" fillId="0" borderId="28" xfId="1" applyFont="1" applyFill="1" applyBorder="1" applyAlignment="1">
      <alignment vertical="top"/>
    </xf>
    <xf numFmtId="0" fontId="3" fillId="0" borderId="28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center" vertical="top"/>
    </xf>
    <xf numFmtId="43" fontId="20" fillId="0" borderId="22" xfId="1" applyFont="1" applyFill="1" applyBorder="1" applyAlignment="1">
      <alignment vertical="top"/>
    </xf>
    <xf numFmtId="43" fontId="3" fillId="0" borderId="22" xfId="1" applyFont="1" applyFill="1" applyBorder="1" applyAlignment="1">
      <alignment vertical="top"/>
    </xf>
    <xf numFmtId="0" fontId="3" fillId="0" borderId="22" xfId="0" applyFont="1" applyFill="1" applyBorder="1" applyAlignment="1">
      <alignment horizontal="left" vertical="top" wrapText="1"/>
    </xf>
    <xf numFmtId="4" fontId="89" fillId="5" borderId="0" xfId="4" applyNumberFormat="1" applyFont="1" applyFill="1"/>
    <xf numFmtId="171" fontId="89" fillId="0" borderId="0" xfId="4" applyNumberFormat="1" applyFont="1" applyAlignment="1">
      <alignment vertical="center"/>
    </xf>
    <xf numFmtId="172" fontId="25" fillId="2" borderId="0" xfId="5" applyNumberFormat="1" applyFont="1" applyFill="1" applyBorder="1" applyAlignment="1" applyProtection="1">
      <alignment horizontal="right" vertical="center" wrapText="1"/>
    </xf>
    <xf numFmtId="168" fontId="28" fillId="2" borderId="0" xfId="0" applyNumberFormat="1" applyFont="1" applyFill="1" applyAlignment="1">
      <alignment vertical="center"/>
    </xf>
    <xf numFmtId="43" fontId="3" fillId="2" borderId="4" xfId="1" applyFont="1" applyFill="1" applyBorder="1" applyAlignment="1">
      <alignment vertical="top"/>
    </xf>
    <xf numFmtId="0" fontId="3" fillId="2" borderId="4" xfId="956" applyFont="1" applyFill="1" applyBorder="1" applyAlignment="1">
      <alignment horizontal="center" vertical="center" wrapText="1"/>
    </xf>
    <xf numFmtId="0" fontId="3" fillId="2" borderId="4" xfId="956" applyFont="1" applyFill="1" applyBorder="1" applyAlignment="1">
      <alignment horizontal="center" vertical="center"/>
    </xf>
    <xf numFmtId="43" fontId="20" fillId="2" borderId="4" xfId="1" applyFont="1" applyFill="1" applyBorder="1" applyAlignment="1">
      <alignment horizontal="left" vertical="center"/>
    </xf>
    <xf numFmtId="173" fontId="83" fillId="2" borderId="0" xfId="0" applyNumberFormat="1" applyFont="1" applyFill="1" applyAlignment="1">
      <alignment vertical="center"/>
    </xf>
    <xf numFmtId="0" fontId="83" fillId="2" borderId="0" xfId="0" applyFont="1" applyFill="1" applyAlignment="1">
      <alignment vertical="center"/>
    </xf>
    <xf numFmtId="0" fontId="14" fillId="6" borderId="22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3" fillId="6" borderId="41" xfId="0" applyFont="1" applyFill="1" applyBorder="1" applyAlignment="1">
      <alignment vertical="top" wrapText="1"/>
    </xf>
    <xf numFmtId="168" fontId="27" fillId="0" borderId="4" xfId="0" applyNumberFormat="1" applyFont="1" applyFill="1" applyBorder="1" applyAlignment="1">
      <alignment horizontal="left" vertical="center"/>
    </xf>
    <xf numFmtId="43" fontId="14" fillId="11" borderId="4" xfId="1" applyFont="1" applyFill="1" applyBorder="1" applyAlignment="1">
      <alignment horizontal="center" vertical="top" wrapText="1"/>
    </xf>
    <xf numFmtId="43" fontId="14" fillId="11" borderId="16" xfId="1" applyFont="1" applyFill="1" applyBorder="1" applyAlignment="1">
      <alignment horizontal="center" vertical="top" wrapText="1"/>
    </xf>
    <xf numFmtId="168" fontId="27" fillId="0" borderId="4" xfId="0" applyNumberFormat="1" applyFont="1" applyFill="1" applyBorder="1" applyAlignment="1">
      <alignment horizontal="left" vertical="center"/>
    </xf>
    <xf numFmtId="0" fontId="14" fillId="11" borderId="4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left" vertical="top"/>
    </xf>
    <xf numFmtId="43" fontId="14" fillId="11" borderId="4" xfId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/>
    </xf>
    <xf numFmtId="0" fontId="14" fillId="11" borderId="4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left" vertical="top"/>
    </xf>
    <xf numFmtId="0" fontId="14" fillId="2" borderId="0" xfId="0" applyFont="1" applyFill="1" applyBorder="1" applyAlignment="1">
      <alignment horizontal="center" vertical="top"/>
    </xf>
    <xf numFmtId="43" fontId="14" fillId="11" borderId="4" xfId="1" applyFont="1" applyFill="1" applyBorder="1" applyAlignment="1">
      <alignment horizontal="center" vertical="top" wrapText="1"/>
    </xf>
    <xf numFmtId="168" fontId="26" fillId="2" borderId="11" xfId="0" applyNumberFormat="1" applyFont="1" applyFill="1" applyBorder="1" applyAlignment="1">
      <alignment vertical="center"/>
    </xf>
    <xf numFmtId="168" fontId="29" fillId="2" borderId="5" xfId="0" applyNumberFormat="1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43" fontId="27" fillId="0" borderId="5" xfId="1" applyFont="1" applyFill="1" applyBorder="1" applyAlignment="1">
      <alignment horizontal="left" vertical="center"/>
    </xf>
    <xf numFmtId="43" fontId="26" fillId="2" borderId="5" xfId="1" applyFont="1" applyFill="1" applyBorder="1" applyAlignment="1">
      <alignment vertical="center"/>
    </xf>
    <xf numFmtId="43" fontId="26" fillId="0" borderId="5" xfId="1" applyFont="1" applyFill="1" applyBorder="1" applyAlignment="1">
      <alignment vertical="center"/>
    </xf>
    <xf numFmtId="43" fontId="25" fillId="3" borderId="5" xfId="1" applyFont="1" applyFill="1" applyBorder="1" applyAlignment="1">
      <alignment vertical="center"/>
    </xf>
    <xf numFmtId="43" fontId="27" fillId="3" borderId="5" xfId="1" applyFont="1" applyFill="1" applyBorder="1" applyAlignment="1">
      <alignment vertical="center"/>
    </xf>
    <xf numFmtId="43" fontId="26" fillId="3" borderId="5" xfId="1" applyFont="1" applyFill="1" applyBorder="1" applyAlignment="1">
      <alignment vertical="center"/>
    </xf>
    <xf numFmtId="43" fontId="27" fillId="7" borderId="14" xfId="1" applyFont="1" applyFill="1" applyBorder="1" applyAlignment="1">
      <alignment vertical="center"/>
    </xf>
    <xf numFmtId="0" fontId="3" fillId="2" borderId="22" xfId="956" applyFont="1" applyFill="1" applyBorder="1" applyAlignment="1">
      <alignment vertical="top" wrapText="1"/>
    </xf>
    <xf numFmtId="0" fontId="3" fillId="6" borderId="4" xfId="956" applyFont="1" applyFill="1" applyBorder="1" applyAlignment="1">
      <alignment vertical="top" wrapText="1"/>
    </xf>
    <xf numFmtId="0" fontId="3" fillId="6" borderId="4" xfId="956" quotePrefix="1" applyFont="1" applyFill="1" applyBorder="1" applyAlignment="1">
      <alignment vertical="top" wrapText="1"/>
    </xf>
    <xf numFmtId="174" fontId="26" fillId="2" borderId="0" xfId="0" applyNumberFormat="1" applyFont="1" applyFill="1" applyBorder="1" applyAlignment="1">
      <alignment horizontal="left" vertical="center" wrapText="1"/>
    </xf>
    <xf numFmtId="43" fontId="20" fillId="2" borderId="4" xfId="1" applyFont="1" applyFill="1" applyBorder="1" applyAlignment="1">
      <alignment horizontal="right" vertical="top"/>
    </xf>
    <xf numFmtId="0" fontId="3" fillId="5" borderId="0" xfId="956" applyFont="1" applyFill="1" applyBorder="1" applyAlignment="1">
      <alignment vertical="top" wrapText="1"/>
    </xf>
    <xf numFmtId="0" fontId="14" fillId="6" borderId="4" xfId="0" applyFont="1" applyFill="1" applyBorder="1" applyAlignment="1">
      <alignment horizontal="center" vertical="top"/>
    </xf>
    <xf numFmtId="0" fontId="14" fillId="6" borderId="4" xfId="0" applyFont="1" applyFill="1" applyBorder="1" applyAlignment="1">
      <alignment vertical="top" wrapText="1"/>
    </xf>
    <xf numFmtId="0" fontId="14" fillId="6" borderId="4" xfId="956" applyFont="1" applyFill="1" applyBorder="1" applyAlignment="1">
      <alignment horizontal="center" vertical="top"/>
    </xf>
    <xf numFmtId="0" fontId="24" fillId="6" borderId="4" xfId="956" applyFont="1" applyFill="1" applyBorder="1" applyAlignment="1">
      <alignment horizontal="center" vertical="top"/>
    </xf>
    <xf numFmtId="43" fontId="14" fillId="6" borderId="4" xfId="8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vertical="top"/>
    </xf>
    <xf numFmtId="0" fontId="107" fillId="6" borderId="41" xfId="0" applyFont="1" applyFill="1" applyBorder="1" applyAlignment="1">
      <alignment vertical="top" wrapText="1"/>
    </xf>
    <xf numFmtId="173" fontId="26" fillId="2" borderId="0" xfId="0" applyNumberFormat="1" applyFont="1" applyFill="1" applyAlignment="1">
      <alignment vertical="center"/>
    </xf>
    <xf numFmtId="0" fontId="27" fillId="2" borderId="0" xfId="0" applyFont="1" applyFill="1" applyAlignment="1">
      <alignment vertical="center"/>
    </xf>
    <xf numFmtId="173" fontId="27" fillId="2" borderId="0" xfId="0" applyNumberFormat="1" applyFont="1" applyFill="1" applyAlignment="1">
      <alignment vertical="center"/>
    </xf>
    <xf numFmtId="0" fontId="108" fillId="17" borderId="0" xfId="4" applyFont="1" applyFill="1"/>
    <xf numFmtId="0" fontId="109" fillId="17" borderId="0" xfId="4" applyFont="1" applyFill="1"/>
    <xf numFmtId="4" fontId="108" fillId="17" borderId="0" xfId="4" applyNumberFormat="1" applyFont="1" applyFill="1"/>
    <xf numFmtId="0" fontId="6" fillId="0" borderId="0" xfId="4" applyFont="1"/>
    <xf numFmtId="175" fontId="78" fillId="0" borderId="0" xfId="4" applyNumberFormat="1" applyFont="1" applyFill="1"/>
    <xf numFmtId="175" fontId="81" fillId="6" borderId="38" xfId="1" applyNumberFormat="1" applyFont="1" applyFill="1" applyBorder="1" applyAlignment="1">
      <alignment horizontal="right" vertical="center"/>
    </xf>
    <xf numFmtId="175" fontId="80" fillId="9" borderId="38" xfId="1" applyNumberFormat="1" applyFont="1" applyFill="1" applyBorder="1" applyAlignment="1">
      <alignment vertical="center"/>
    </xf>
    <xf numFmtId="175" fontId="81" fillId="6" borderId="39" xfId="1" applyNumberFormat="1" applyFont="1" applyFill="1" applyBorder="1" applyAlignment="1">
      <alignment horizontal="right" vertical="center"/>
    </xf>
    <xf numFmtId="175" fontId="80" fillId="6" borderId="44" xfId="1" applyNumberFormat="1" applyFont="1" applyFill="1" applyBorder="1" applyAlignment="1">
      <alignment horizontal="right" vertical="center"/>
    </xf>
    <xf numFmtId="175" fontId="80" fillId="6" borderId="46" xfId="1" applyNumberFormat="1" applyFont="1" applyFill="1" applyBorder="1" applyAlignment="1">
      <alignment horizontal="right" vertical="center"/>
    </xf>
    <xf numFmtId="175" fontId="25" fillId="9" borderId="40" xfId="1" applyNumberFormat="1" applyFont="1" applyFill="1" applyBorder="1" applyAlignment="1">
      <alignment vertical="center"/>
    </xf>
    <xf numFmtId="175" fontId="25" fillId="9" borderId="41" xfId="1" applyNumberFormat="1" applyFont="1" applyFill="1" applyBorder="1" applyAlignment="1">
      <alignment vertical="center"/>
    </xf>
    <xf numFmtId="175" fontId="25" fillId="9" borderId="38" xfId="1" applyNumberFormat="1" applyFont="1" applyFill="1" applyBorder="1" applyAlignment="1">
      <alignment vertical="center"/>
    </xf>
    <xf numFmtId="175" fontId="25" fillId="9" borderId="4" xfId="1" applyNumberFormat="1" applyFont="1" applyFill="1" applyBorder="1" applyAlignment="1">
      <alignment vertical="center"/>
    </xf>
    <xf numFmtId="175" fontId="28" fillId="0" borderId="4" xfId="1" applyNumberFormat="1" applyFont="1" applyFill="1" applyBorder="1" applyAlignment="1">
      <alignment horizontal="right" vertical="center"/>
    </xf>
    <xf numFmtId="175" fontId="28" fillId="0" borderId="16" xfId="1" applyNumberFormat="1" applyFont="1" applyFill="1" applyBorder="1" applyAlignment="1">
      <alignment horizontal="right" vertical="center"/>
    </xf>
    <xf numFmtId="175" fontId="28" fillId="0" borderId="4" xfId="1" applyNumberFormat="1" applyFont="1" applyFill="1" applyBorder="1" applyAlignment="1">
      <alignment vertical="center"/>
    </xf>
    <xf numFmtId="175" fontId="25" fillId="9" borderId="48" xfId="1" applyNumberFormat="1" applyFont="1" applyFill="1" applyBorder="1" applyAlignment="1">
      <alignment vertical="center"/>
    </xf>
    <xf numFmtId="175" fontId="25" fillId="9" borderId="51" xfId="1" applyNumberFormat="1" applyFont="1" applyFill="1" applyBorder="1" applyAlignment="1">
      <alignment vertical="center"/>
    </xf>
    <xf numFmtId="175" fontId="28" fillId="0" borderId="20" xfId="1" applyNumberFormat="1" applyFont="1" applyFill="1" applyBorder="1" applyAlignment="1">
      <alignment vertical="center"/>
    </xf>
    <xf numFmtId="175" fontId="41" fillId="0" borderId="13" xfId="1" applyNumberFormat="1" applyFont="1" applyFill="1" applyBorder="1" applyAlignment="1">
      <alignment vertical="center"/>
    </xf>
    <xf numFmtId="175" fontId="28" fillId="2" borderId="13" xfId="1" applyNumberFormat="1" applyFont="1" applyFill="1" applyBorder="1" applyAlignment="1">
      <alignment vertical="center"/>
    </xf>
    <xf numFmtId="175" fontId="28" fillId="2" borderId="20" xfId="1" applyNumberFormat="1" applyFont="1" applyFill="1" applyBorder="1" applyAlignment="1">
      <alignment vertical="center"/>
    </xf>
    <xf numFmtId="175" fontId="28" fillId="2" borderId="21" xfId="1" applyNumberFormat="1" applyFont="1" applyFill="1" applyBorder="1" applyAlignment="1">
      <alignment vertical="center"/>
    </xf>
    <xf numFmtId="175" fontId="28" fillId="0" borderId="1" xfId="1" applyNumberFormat="1" applyFont="1" applyFill="1" applyBorder="1" applyAlignment="1">
      <alignment horizontal="right" vertical="center"/>
    </xf>
    <xf numFmtId="175" fontId="28" fillId="0" borderId="5" xfId="1" applyNumberFormat="1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left" vertical="top"/>
    </xf>
    <xf numFmtId="0" fontId="14" fillId="6" borderId="2" xfId="0" applyFont="1" applyFill="1" applyBorder="1" applyAlignment="1">
      <alignment vertical="top" wrapText="1"/>
    </xf>
    <xf numFmtId="0" fontId="14" fillId="6" borderId="2" xfId="956" applyFont="1" applyFill="1" applyBorder="1" applyAlignment="1">
      <alignment horizontal="center" vertical="top"/>
    </xf>
    <xf numFmtId="0" fontId="14" fillId="6" borderId="2" xfId="956" applyFont="1" applyFill="1" applyBorder="1" applyAlignment="1">
      <alignment vertical="top" wrapText="1"/>
    </xf>
    <xf numFmtId="0" fontId="14" fillId="6" borderId="2" xfId="956" quotePrefix="1" applyFont="1" applyFill="1" applyBorder="1" applyAlignment="1">
      <alignment vertical="top" wrapText="1"/>
    </xf>
    <xf numFmtId="0" fontId="14" fillId="2" borderId="4" xfId="0" applyFont="1" applyFill="1" applyBorder="1" applyAlignment="1">
      <alignment horizontal="center" vertical="top"/>
    </xf>
    <xf numFmtId="2" fontId="20" fillId="2" borderId="2" xfId="956" applyNumberFormat="1" applyFont="1" applyFill="1" applyBorder="1" applyAlignment="1">
      <alignment vertical="top"/>
    </xf>
    <xf numFmtId="2" fontId="24" fillId="6" borderId="2" xfId="956" applyNumberFormat="1" applyFont="1" applyFill="1" applyBorder="1" applyAlignment="1">
      <alignment vertical="top"/>
    </xf>
    <xf numFmtId="43" fontId="3" fillId="2" borderId="2" xfId="8" applyNumberFormat="1" applyFont="1" applyFill="1" applyBorder="1" applyAlignment="1">
      <alignment horizontal="right" vertical="top"/>
    </xf>
    <xf numFmtId="43" fontId="3" fillId="2" borderId="4" xfId="8" applyNumberFormat="1" applyFont="1" applyFill="1" applyBorder="1" applyAlignment="1">
      <alignment horizontal="right" vertical="top"/>
    </xf>
    <xf numFmtId="43" fontId="14" fillId="6" borderId="2" xfId="8" applyNumberFormat="1" applyFont="1" applyFill="1" applyBorder="1" applyAlignment="1">
      <alignment horizontal="right" vertical="top"/>
    </xf>
    <xf numFmtId="43" fontId="14" fillId="6" borderId="4" xfId="8" applyNumberFormat="1" applyFont="1" applyFill="1" applyBorder="1" applyAlignment="1">
      <alignment horizontal="right" vertical="top"/>
    </xf>
    <xf numFmtId="176" fontId="1" fillId="0" borderId="0" xfId="483" applyNumberFormat="1"/>
    <xf numFmtId="168" fontId="111" fillId="2" borderId="4" xfId="0" applyNumberFormat="1" applyFont="1" applyFill="1" applyBorder="1" applyAlignment="1">
      <alignment horizontal="center" vertical="center"/>
    </xf>
    <xf numFmtId="0" fontId="111" fillId="0" borderId="1" xfId="0" applyFont="1" applyFill="1" applyBorder="1" applyAlignment="1">
      <alignment horizontal="center" vertical="center"/>
    </xf>
    <xf numFmtId="0" fontId="111" fillId="0" borderId="4" xfId="0" applyFont="1" applyFill="1" applyBorder="1" applyAlignment="1">
      <alignment horizontal="center" vertical="center"/>
    </xf>
    <xf numFmtId="0" fontId="110" fillId="2" borderId="1" xfId="0" applyFont="1" applyFill="1" applyBorder="1" applyAlignment="1">
      <alignment horizontal="center" vertical="center"/>
    </xf>
    <xf numFmtId="168" fontId="110" fillId="2" borderId="4" xfId="0" applyNumberFormat="1" applyFont="1" applyFill="1" applyBorder="1" applyAlignment="1">
      <alignment vertical="center" wrapText="1"/>
    </xf>
    <xf numFmtId="175" fontId="110" fillId="2" borderId="4" xfId="1" applyNumberFormat="1" applyFont="1" applyFill="1" applyBorder="1" applyAlignment="1">
      <alignment vertical="center"/>
    </xf>
    <xf numFmtId="175" fontId="110" fillId="2" borderId="22" xfId="1" applyNumberFormat="1" applyFont="1" applyFill="1" applyBorder="1" applyAlignment="1">
      <alignment vertical="center"/>
    </xf>
    <xf numFmtId="175" fontId="113" fillId="3" borderId="4" xfId="1" applyNumberFormat="1" applyFont="1" applyFill="1" applyBorder="1" applyAlignment="1">
      <alignment vertical="center"/>
    </xf>
    <xf numFmtId="175" fontId="113" fillId="3" borderId="22" xfId="1" applyNumberFormat="1" applyFont="1" applyFill="1" applyBorder="1" applyAlignment="1">
      <alignment vertical="center"/>
    </xf>
    <xf numFmtId="171" fontId="113" fillId="3" borderId="5" xfId="1" applyNumberFormat="1" applyFont="1" applyFill="1" applyBorder="1" applyAlignment="1">
      <alignment vertical="center"/>
    </xf>
    <xf numFmtId="175" fontId="112" fillId="3" borderId="4" xfId="1" applyNumberFormat="1" applyFont="1" applyFill="1" applyBorder="1" applyAlignment="1">
      <alignment vertical="center"/>
    </xf>
    <xf numFmtId="175" fontId="112" fillId="3" borderId="22" xfId="1" applyNumberFormat="1" applyFont="1" applyFill="1" applyBorder="1" applyAlignment="1">
      <alignment vertical="center"/>
    </xf>
    <xf numFmtId="171" fontId="112" fillId="3" borderId="5" xfId="1" applyNumberFormat="1" applyFont="1" applyFill="1" applyBorder="1" applyAlignment="1">
      <alignment vertical="center"/>
    </xf>
    <xf numFmtId="175" fontId="112" fillId="7" borderId="13" xfId="1" applyNumberFormat="1" applyFont="1" applyFill="1" applyBorder="1" applyAlignment="1">
      <alignment vertical="center"/>
    </xf>
    <xf numFmtId="175" fontId="112" fillId="7" borderId="62" xfId="1" applyNumberFormat="1" applyFont="1" applyFill="1" applyBorder="1" applyAlignment="1">
      <alignment vertical="center"/>
    </xf>
    <xf numFmtId="171" fontId="112" fillId="7" borderId="14" xfId="1" applyNumberFormat="1" applyFont="1" applyFill="1" applyBorder="1" applyAlignment="1">
      <alignment vertical="center"/>
    </xf>
    <xf numFmtId="171" fontId="0" fillId="0" borderId="0" xfId="0" applyNumberFormat="1"/>
    <xf numFmtId="168" fontId="2" fillId="2" borderId="0" xfId="0" applyNumberFormat="1" applyFont="1" applyFill="1" applyBorder="1" applyAlignment="1">
      <alignment horizontal="left" vertical="center"/>
    </xf>
    <xf numFmtId="168" fontId="6" fillId="2" borderId="0" xfId="0" applyNumberFormat="1" applyFont="1" applyFill="1" applyBorder="1" applyAlignment="1">
      <alignment vertical="center" wrapText="1"/>
    </xf>
    <xf numFmtId="168" fontId="6" fillId="2" borderId="0" xfId="0" applyNumberFormat="1" applyFont="1" applyFill="1" applyBorder="1" applyAlignment="1">
      <alignment vertical="center"/>
    </xf>
    <xf numFmtId="0" fontId="103" fillId="2" borderId="0" xfId="0" applyFont="1" applyFill="1" applyAlignment="1">
      <alignment vertical="center"/>
    </xf>
    <xf numFmtId="168" fontId="119" fillId="2" borderId="0" xfId="1" applyNumberFormat="1" applyFont="1" applyFill="1" applyAlignment="1">
      <alignment horizontal="right"/>
    </xf>
    <xf numFmtId="168" fontId="2" fillId="2" borderId="0" xfId="1" applyNumberFormat="1" applyFont="1" applyFill="1" applyAlignment="1">
      <alignment horizontal="right"/>
    </xf>
    <xf numFmtId="168" fontId="103" fillId="2" borderId="0" xfId="0" applyNumberFormat="1" applyFont="1" applyFill="1" applyAlignment="1">
      <alignment vertical="center" wrapText="1"/>
    </xf>
    <xf numFmtId="168" fontId="103" fillId="2" borderId="0" xfId="0" applyNumberFormat="1" applyFont="1" applyFill="1" applyAlignment="1">
      <alignment horizontal="center" vertical="center"/>
    </xf>
    <xf numFmtId="168" fontId="103" fillId="2" borderId="0" xfId="0" applyNumberFormat="1" applyFont="1" applyFill="1" applyAlignment="1">
      <alignment vertical="center"/>
    </xf>
    <xf numFmtId="0" fontId="103" fillId="0" borderId="0" xfId="0" applyFont="1"/>
    <xf numFmtId="0" fontId="26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2" fontId="122" fillId="2" borderId="0" xfId="1" applyNumberFormat="1" applyFont="1" applyFill="1"/>
    <xf numFmtId="2" fontId="121" fillId="2" borderId="0" xfId="1" applyNumberFormat="1" applyFont="1" applyFill="1" applyAlignment="1">
      <alignment horizontal="center"/>
    </xf>
    <xf numFmtId="2" fontId="121" fillId="2" borderId="0" xfId="4" applyNumberFormat="1" applyFont="1" applyFill="1" applyAlignment="1">
      <alignment horizontal="left" vertical="center"/>
    </xf>
    <xf numFmtId="2" fontId="121" fillId="2" borderId="0" xfId="4" applyNumberFormat="1" applyFont="1" applyFill="1" applyAlignment="1"/>
    <xf numFmtId="0" fontId="122" fillId="0" borderId="0" xfId="4" applyFont="1"/>
    <xf numFmtId="0" fontId="6" fillId="2" borderId="0" xfId="4" applyFont="1" applyFill="1" applyAlignment="1">
      <alignment vertical="center"/>
    </xf>
    <xf numFmtId="0" fontId="6" fillId="2" borderId="0" xfId="4" applyFont="1" applyFill="1"/>
    <xf numFmtId="2" fontId="121" fillId="2" borderId="0" xfId="4" applyNumberFormat="1" applyFont="1" applyFill="1" applyAlignment="1">
      <alignment horizontal="center"/>
    </xf>
    <xf numFmtId="0" fontId="123" fillId="0" borderId="0" xfId="4" applyFont="1" applyFill="1" applyAlignment="1">
      <alignment vertical="center"/>
    </xf>
    <xf numFmtId="0" fontId="123" fillId="0" borderId="0" xfId="4" applyFont="1" applyFill="1"/>
    <xf numFmtId="165" fontId="123" fillId="0" borderId="0" xfId="1" applyNumberFormat="1" applyFont="1" applyFill="1"/>
    <xf numFmtId="0" fontId="124" fillId="0" borderId="0" xfId="4" applyFont="1" applyFill="1"/>
    <xf numFmtId="0" fontId="124" fillId="0" borderId="0" xfId="4" applyFont="1" applyFill="1" applyAlignment="1">
      <alignment vertical="center"/>
    </xf>
    <xf numFmtId="0" fontId="123" fillId="0" borderId="0" xfId="4" applyFont="1" applyFill="1" applyBorder="1"/>
    <xf numFmtId="0" fontId="120" fillId="0" borderId="0" xfId="483" applyFont="1"/>
    <xf numFmtId="0" fontId="120" fillId="0" borderId="0" xfId="483" applyFont="1" applyFill="1"/>
    <xf numFmtId="0" fontId="2" fillId="0" borderId="4" xfId="483" applyFont="1" applyBorder="1" applyAlignment="1">
      <alignment horizontal="center" vertical="center" wrapText="1"/>
    </xf>
    <xf numFmtId="0" fontId="6" fillId="0" borderId="4" xfId="483" applyFont="1" applyBorder="1" applyAlignment="1">
      <alignment horizontal="center" vertical="center" wrapText="1"/>
    </xf>
    <xf numFmtId="4" fontId="6" fillId="0" borderId="4" xfId="483" applyNumberFormat="1" applyFont="1" applyFill="1" applyBorder="1" applyAlignment="1">
      <alignment horizontal="right" vertical="center"/>
    </xf>
    <xf numFmtId="49" fontId="6" fillId="0" borderId="4" xfId="483" applyNumberFormat="1" applyFont="1" applyBorder="1" applyAlignment="1">
      <alignment horizontal="left" vertical="center"/>
    </xf>
    <xf numFmtId="0" fontId="6" fillId="0" borderId="4" xfId="483" applyFont="1" applyBorder="1" applyAlignment="1">
      <alignment horizontal="left" vertical="center" wrapText="1"/>
    </xf>
    <xf numFmtId="9" fontId="6" fillId="0" borderId="4" xfId="483" applyNumberFormat="1" applyFont="1" applyBorder="1" applyAlignment="1">
      <alignment horizontal="center" vertical="center" wrapText="1"/>
    </xf>
    <xf numFmtId="9" fontId="6" fillId="0" borderId="4" xfId="483" applyNumberFormat="1" applyFont="1" applyBorder="1" applyAlignment="1">
      <alignment vertical="center" wrapText="1"/>
    </xf>
    <xf numFmtId="49" fontId="6" fillId="0" borderId="4" xfId="483" applyNumberFormat="1" applyFont="1" applyBorder="1" applyAlignment="1">
      <alignment horizontal="center" vertical="center"/>
    </xf>
    <xf numFmtId="0" fontId="119" fillId="0" borderId="0" xfId="483" applyFont="1" applyAlignment="1"/>
    <xf numFmtId="168" fontId="118" fillId="0" borderId="0" xfId="483" applyNumberFormat="1" applyFont="1" applyAlignment="1">
      <alignment horizontal="center"/>
    </xf>
    <xf numFmtId="168" fontId="118" fillId="0" borderId="0" xfId="483" applyNumberFormat="1" applyFont="1" applyFill="1" applyAlignment="1">
      <alignment horizontal="center"/>
    </xf>
    <xf numFmtId="0" fontId="6" fillId="0" borderId="0" xfId="483" applyFont="1" applyFill="1" applyBorder="1" applyAlignment="1">
      <alignment horizontal="center" vertical="center" wrapText="1"/>
    </xf>
    <xf numFmtId="0" fontId="103" fillId="0" borderId="0" xfId="483" applyFont="1"/>
    <xf numFmtId="166" fontId="103" fillId="0" borderId="0" xfId="483" applyNumberFormat="1" applyFont="1"/>
    <xf numFmtId="0" fontId="103" fillId="0" borderId="0" xfId="483" applyFont="1" applyAlignment="1">
      <alignment horizontal="right"/>
    </xf>
    <xf numFmtId="0" fontId="6" fillId="0" borderId="0" xfId="483" applyFont="1"/>
    <xf numFmtId="174" fontId="6" fillId="4" borderId="4" xfId="483" applyNumberFormat="1" applyFont="1" applyFill="1" applyBorder="1"/>
    <xf numFmtId="9" fontId="106" fillId="9" borderId="4" xfId="483" applyNumberFormat="1" applyFont="1" applyFill="1" applyBorder="1"/>
    <xf numFmtId="178" fontId="2" fillId="4" borderId="4" xfId="483" applyNumberFormat="1" applyFont="1" applyFill="1" applyBorder="1"/>
    <xf numFmtId="10" fontId="106" fillId="20" borderId="4" xfId="483" applyNumberFormat="1" applyFont="1" applyFill="1" applyBorder="1"/>
    <xf numFmtId="0" fontId="2" fillId="3" borderId="4" xfId="483" applyFont="1" applyFill="1" applyBorder="1" applyAlignment="1">
      <alignment horizontal="center" vertical="center" wrapText="1"/>
    </xf>
    <xf numFmtId="0" fontId="2" fillId="3" borderId="4" xfId="483" applyFont="1" applyFill="1" applyBorder="1" applyAlignment="1">
      <alignment horizontal="center" vertical="center"/>
    </xf>
    <xf numFmtId="0" fontId="106" fillId="0" borderId="0" xfId="483" applyFont="1" applyAlignment="1">
      <alignment horizontal="right"/>
    </xf>
    <xf numFmtId="0" fontId="120" fillId="3" borderId="18" xfId="0" applyFont="1" applyFill="1" applyBorder="1" applyAlignment="1">
      <alignment vertical="center" wrapText="1"/>
    </xf>
    <xf numFmtId="178" fontId="2" fillId="3" borderId="55" xfId="483" applyNumberFormat="1" applyFont="1" applyFill="1" applyBorder="1"/>
    <xf numFmtId="168" fontId="111" fillId="21" borderId="5" xfId="0" applyNumberFormat="1" applyFont="1" applyFill="1" applyBorder="1" applyAlignment="1">
      <alignment horizontal="center" vertical="center"/>
    </xf>
    <xf numFmtId="0" fontId="111" fillId="21" borderId="5" xfId="0" applyFont="1" applyFill="1" applyBorder="1" applyAlignment="1">
      <alignment horizontal="center" vertical="center"/>
    </xf>
    <xf numFmtId="168" fontId="110" fillId="2" borderId="33" xfId="0" applyNumberFormat="1" applyFont="1" applyFill="1" applyBorder="1" applyAlignment="1">
      <alignment horizontal="center" vertical="center"/>
    </xf>
    <xf numFmtId="168" fontId="110" fillId="2" borderId="65" xfId="0" applyNumberFormat="1" applyFont="1" applyFill="1" applyBorder="1" applyAlignment="1">
      <alignment vertical="center" wrapText="1"/>
    </xf>
    <xf numFmtId="168" fontId="110" fillId="2" borderId="65" xfId="0" applyNumberFormat="1" applyFont="1" applyFill="1" applyBorder="1" applyAlignment="1">
      <alignment vertical="center"/>
    </xf>
    <xf numFmtId="168" fontId="111" fillId="2" borderId="6" xfId="0" applyNumberFormat="1" applyFont="1" applyFill="1" applyBorder="1" applyAlignment="1">
      <alignment horizontal="center" vertical="center"/>
    </xf>
    <xf numFmtId="0" fontId="110" fillId="21" borderId="66" xfId="0" applyFont="1" applyFill="1" applyBorder="1"/>
    <xf numFmtId="168" fontId="111" fillId="21" borderId="11" xfId="0" applyNumberFormat="1" applyFont="1" applyFill="1" applyBorder="1" applyAlignment="1">
      <alignment horizontal="center" vertical="center" wrapText="1"/>
    </xf>
    <xf numFmtId="0" fontId="2" fillId="3" borderId="54" xfId="483" applyFont="1" applyFill="1" applyBorder="1" applyAlignment="1">
      <alignment horizontal="center" vertical="center" wrapText="1"/>
    </xf>
    <xf numFmtId="0" fontId="2" fillId="3" borderId="54" xfId="483" applyFont="1" applyFill="1" applyBorder="1" applyAlignment="1">
      <alignment horizontal="center" vertical="center"/>
    </xf>
    <xf numFmtId="0" fontId="2" fillId="3" borderId="5" xfId="483" applyFont="1" applyFill="1" applyBorder="1" applyAlignment="1">
      <alignment horizontal="center" vertical="center" wrapText="1"/>
    </xf>
    <xf numFmtId="0" fontId="2" fillId="3" borderId="5" xfId="483" applyFont="1" applyFill="1" applyBorder="1" applyAlignment="1">
      <alignment horizontal="center" vertical="center"/>
    </xf>
    <xf numFmtId="0" fontId="2" fillId="0" borderId="1" xfId="483" applyFont="1" applyBorder="1" applyAlignment="1">
      <alignment horizontal="center" vertical="center" wrapText="1"/>
    </xf>
    <xf numFmtId="4" fontId="6" fillId="0" borderId="5" xfId="483" applyNumberFormat="1" applyFont="1" applyFill="1" applyBorder="1" applyAlignment="1">
      <alignment horizontal="right" vertical="center"/>
    </xf>
    <xf numFmtId="0" fontId="2" fillId="0" borderId="1" xfId="483" applyFont="1" applyBorder="1" applyAlignment="1">
      <alignment horizontal="center" vertical="center"/>
    </xf>
    <xf numFmtId="0" fontId="6" fillId="6" borderId="13" xfId="483" applyFont="1" applyFill="1" applyBorder="1" applyAlignment="1">
      <alignment horizontal="center" vertical="center" wrapText="1"/>
    </xf>
    <xf numFmtId="4" fontId="2" fillId="6" borderId="13" xfId="483" applyNumberFormat="1" applyFont="1" applyFill="1" applyBorder="1" applyAlignment="1">
      <alignment horizontal="right" vertical="center"/>
    </xf>
    <xf numFmtId="4" fontId="2" fillId="6" borderId="14" xfId="483" applyNumberFormat="1" applyFont="1" applyFill="1" applyBorder="1" applyAlignment="1">
      <alignment horizontal="right" vertical="center"/>
    </xf>
    <xf numFmtId="175" fontId="41" fillId="0" borderId="3" xfId="1" applyNumberFormat="1" applyFont="1" applyFill="1" applyBorder="1"/>
    <xf numFmtId="175" fontId="41" fillId="0" borderId="4" xfId="1" applyNumberFormat="1" applyFont="1" applyFill="1" applyBorder="1" applyAlignment="1">
      <alignment horizontal="left" vertical="center"/>
    </xf>
    <xf numFmtId="175" fontId="41" fillId="0" borderId="4" xfId="4" applyNumberFormat="1" applyFont="1" applyFill="1" applyBorder="1" applyAlignment="1">
      <alignment horizontal="left" vertical="center"/>
    </xf>
    <xf numFmtId="175" fontId="41" fillId="0" borderId="4" xfId="4" applyNumberFormat="1" applyFont="1" applyFill="1" applyBorder="1"/>
    <xf numFmtId="175" fontId="41" fillId="0" borderId="4" xfId="1" applyNumberFormat="1" applyFont="1" applyFill="1" applyBorder="1"/>
    <xf numFmtId="175" fontId="28" fillId="0" borderId="2" xfId="1" applyNumberFormat="1" applyFont="1" applyFill="1" applyBorder="1" applyAlignment="1">
      <alignment vertical="center"/>
    </xf>
    <xf numFmtId="175" fontId="28" fillId="0" borderId="3" xfId="1" applyNumberFormat="1" applyFont="1" applyFill="1" applyBorder="1" applyAlignment="1">
      <alignment vertical="center"/>
    </xf>
    <xf numFmtId="175" fontId="41" fillId="0" borderId="0" xfId="1" applyNumberFormat="1" applyFont="1" applyFill="1" applyBorder="1"/>
    <xf numFmtId="175" fontId="28" fillId="0" borderId="16" xfId="1" applyNumberFormat="1" applyFont="1" applyFill="1" applyBorder="1" applyAlignment="1">
      <alignment vertical="center"/>
    </xf>
    <xf numFmtId="175" fontId="28" fillId="0" borderId="17" xfId="1" applyNumberFormat="1" applyFont="1" applyFill="1" applyBorder="1" applyAlignment="1">
      <alignment vertical="center"/>
    </xf>
    <xf numFmtId="175" fontId="28" fillId="0" borderId="54" xfId="1" applyNumberFormat="1" applyFont="1" applyFill="1" applyBorder="1" applyAlignment="1">
      <alignment horizontal="right" vertical="center"/>
    </xf>
    <xf numFmtId="164" fontId="66" fillId="0" borderId="0" xfId="483" applyNumberFormat="1" applyFont="1" applyAlignment="1">
      <alignment vertical="center"/>
    </xf>
    <xf numFmtId="0" fontId="125" fillId="5" borderId="0" xfId="483" applyFont="1" applyFill="1"/>
    <xf numFmtId="0" fontId="120" fillId="5" borderId="0" xfId="483" applyFont="1" applyFill="1"/>
    <xf numFmtId="168" fontId="103" fillId="5" borderId="0" xfId="0" applyNumberFormat="1" applyFont="1" applyFill="1" applyBorder="1" applyAlignment="1">
      <alignment horizontal="right" vertical="center"/>
    </xf>
    <xf numFmtId="177" fontId="103" fillId="5" borderId="0" xfId="0" applyNumberFormat="1" applyFont="1" applyFill="1" applyBorder="1" applyAlignment="1">
      <alignment horizontal="left" vertical="center" wrapText="1"/>
    </xf>
    <xf numFmtId="168" fontId="37" fillId="0" borderId="0" xfId="1" applyNumberFormat="1" applyFont="1" applyFill="1" applyAlignment="1">
      <alignment horizontal="right"/>
    </xf>
    <xf numFmtId="168" fontId="9" fillId="0" borderId="0" xfId="1" applyNumberFormat="1" applyFont="1" applyFill="1" applyAlignment="1">
      <alignment horizontal="right"/>
    </xf>
    <xf numFmtId="175" fontId="28" fillId="7" borderId="54" xfId="1" applyNumberFormat="1" applyFont="1" applyFill="1" applyBorder="1" applyAlignment="1">
      <alignment horizontal="right" vertical="center"/>
    </xf>
    <xf numFmtId="9" fontId="6" fillId="0" borderId="2" xfId="483" applyNumberFormat="1" applyFont="1" applyBorder="1" applyAlignment="1">
      <alignment horizontal="center" vertical="center" wrapText="1"/>
    </xf>
    <xf numFmtId="2" fontId="77" fillId="2" borderId="0" xfId="4" applyNumberFormat="1" applyFont="1" applyFill="1" applyAlignment="1">
      <alignment horizontal="center"/>
    </xf>
    <xf numFmtId="175" fontId="28" fillId="2" borderId="54" xfId="1" applyNumberFormat="1" applyFont="1" applyFill="1" applyBorder="1" applyAlignment="1">
      <alignment horizontal="right" vertical="center"/>
    </xf>
    <xf numFmtId="175" fontId="28" fillId="7" borderId="38" xfId="1" applyNumberFormat="1" applyFont="1" applyFill="1" applyBorder="1" applyAlignment="1">
      <alignment horizontal="right" vertical="center"/>
    </xf>
    <xf numFmtId="0" fontId="82" fillId="0" borderId="0" xfId="4" applyFont="1" applyFill="1" applyBorder="1"/>
    <xf numFmtId="175" fontId="41" fillId="0" borderId="5" xfId="4" applyNumberFormat="1" applyFont="1" applyFill="1" applyBorder="1"/>
    <xf numFmtId="175" fontId="28" fillId="6" borderId="38" xfId="1" applyNumberFormat="1" applyFont="1" applyFill="1" applyBorder="1" applyAlignment="1">
      <alignment horizontal="right" vertical="center"/>
    </xf>
    <xf numFmtId="43" fontId="37" fillId="20" borderId="35" xfId="1" applyFont="1" applyFill="1" applyBorder="1" applyAlignment="1">
      <alignment horizontal="center" vertical="center"/>
    </xf>
    <xf numFmtId="165" fontId="37" fillId="20" borderId="54" xfId="1" applyNumberFormat="1" applyFont="1" applyFill="1" applyBorder="1" applyAlignment="1">
      <alignment horizontal="center" vertical="center"/>
    </xf>
    <xf numFmtId="165" fontId="37" fillId="20" borderId="4" xfId="1" applyNumberFormat="1" applyFont="1" applyFill="1" applyBorder="1" applyAlignment="1">
      <alignment horizontal="center" vertical="center"/>
    </xf>
    <xf numFmtId="165" fontId="37" fillId="20" borderId="5" xfId="1" applyNumberFormat="1" applyFont="1" applyFill="1" applyBorder="1" applyAlignment="1">
      <alignment horizontal="center" vertical="center"/>
    </xf>
    <xf numFmtId="43" fontId="37" fillId="20" borderId="38" xfId="1" applyFont="1" applyFill="1" applyBorder="1" applyAlignment="1">
      <alignment horizontal="center" vertical="center"/>
    </xf>
    <xf numFmtId="0" fontId="37" fillId="9" borderId="19" xfId="4" applyFont="1" applyFill="1" applyBorder="1" applyAlignment="1">
      <alignment horizontal="center" vertical="center"/>
    </xf>
    <xf numFmtId="0" fontId="37" fillId="9" borderId="1" xfId="4" applyFont="1" applyFill="1" applyBorder="1" applyAlignment="1">
      <alignment horizontal="center" vertical="center"/>
    </xf>
    <xf numFmtId="49" fontId="37" fillId="2" borderId="1" xfId="4" applyNumberFormat="1" applyFont="1" applyFill="1" applyBorder="1" applyAlignment="1">
      <alignment horizontal="center" vertical="center"/>
    </xf>
    <xf numFmtId="49" fontId="37" fillId="2" borderId="15" xfId="4" applyNumberFormat="1" applyFont="1" applyFill="1" applyBorder="1" applyAlignment="1">
      <alignment horizontal="center" vertical="center"/>
    </xf>
    <xf numFmtId="175" fontId="28" fillId="0" borderId="54" xfId="1" applyNumberFormat="1" applyFont="1" applyFill="1" applyBorder="1" applyAlignment="1">
      <alignment vertical="center"/>
    </xf>
    <xf numFmtId="175" fontId="28" fillId="0" borderId="59" xfId="1" applyNumberFormat="1" applyFont="1" applyFill="1" applyBorder="1" applyAlignment="1">
      <alignment horizontal="right" vertical="center"/>
    </xf>
    <xf numFmtId="43" fontId="80" fillId="9" borderId="19" xfId="1" applyFont="1" applyFill="1" applyBorder="1" applyAlignment="1">
      <alignment vertical="center"/>
    </xf>
    <xf numFmtId="175" fontId="28" fillId="2" borderId="1" xfId="1" applyNumberFormat="1" applyFont="1" applyFill="1" applyBorder="1" applyAlignment="1">
      <alignment horizontal="right" vertical="center"/>
    </xf>
    <xf numFmtId="175" fontId="25" fillId="9" borderId="1" xfId="1" applyNumberFormat="1" applyFont="1" applyFill="1" applyBorder="1" applyAlignment="1">
      <alignment vertical="center"/>
    </xf>
    <xf numFmtId="175" fontId="28" fillId="2" borderId="38" xfId="1" applyNumberFormat="1" applyFont="1" applyFill="1" applyBorder="1" applyAlignment="1">
      <alignment horizontal="right" vertical="center"/>
    </xf>
    <xf numFmtId="175" fontId="41" fillId="0" borderId="1" xfId="4" applyNumberFormat="1" applyFont="1" applyFill="1" applyBorder="1"/>
    <xf numFmtId="175" fontId="28" fillId="0" borderId="50" xfId="1" applyNumberFormat="1" applyFont="1" applyFill="1" applyBorder="1" applyAlignment="1">
      <alignment horizontal="right" vertical="center"/>
    </xf>
    <xf numFmtId="175" fontId="28" fillId="2" borderId="25" xfId="1" applyNumberFormat="1" applyFont="1" applyFill="1" applyBorder="1" applyAlignment="1">
      <alignment vertical="center"/>
    </xf>
    <xf numFmtId="175" fontId="28" fillId="2" borderId="23" xfId="1" applyNumberFormat="1" applyFont="1" applyFill="1" applyBorder="1" applyAlignment="1">
      <alignment horizontal="right" vertical="center"/>
    </xf>
    <xf numFmtId="175" fontId="28" fillId="2" borderId="59" xfId="1" applyNumberFormat="1" applyFont="1" applyFill="1" applyBorder="1" applyAlignment="1">
      <alignment horizontal="right" vertical="center"/>
    </xf>
    <xf numFmtId="175" fontId="28" fillId="2" borderId="20" xfId="1" applyNumberFormat="1" applyFont="1" applyFill="1" applyBorder="1" applyAlignment="1">
      <alignment horizontal="right" vertical="center"/>
    </xf>
    <xf numFmtId="171" fontId="110" fillId="2" borderId="5" xfId="0" applyNumberFormat="1" applyFont="1" applyFill="1" applyBorder="1" applyAlignment="1">
      <alignment vertical="center"/>
    </xf>
    <xf numFmtId="165" fontId="132" fillId="3" borderId="1" xfId="1" applyNumberFormat="1" applyFont="1" applyFill="1" applyBorder="1" applyAlignment="1">
      <alignment horizontal="center" vertical="center" wrapText="1"/>
    </xf>
    <xf numFmtId="165" fontId="132" fillId="3" borderId="4" xfId="1" applyNumberFormat="1" applyFont="1" applyFill="1" applyBorder="1" applyAlignment="1">
      <alignment horizontal="center" vertical="center" wrapText="1"/>
    </xf>
    <xf numFmtId="165" fontId="132" fillId="3" borderId="5" xfId="1" applyNumberFormat="1" applyFont="1" applyFill="1" applyBorder="1" applyAlignment="1">
      <alignment horizontal="center" vertical="center" wrapText="1"/>
    </xf>
    <xf numFmtId="165" fontId="132" fillId="3" borderId="15" xfId="1" applyNumberFormat="1" applyFont="1" applyFill="1" applyBorder="1" applyAlignment="1">
      <alignment horizontal="center" vertical="center"/>
    </xf>
    <xf numFmtId="165" fontId="132" fillId="3" borderId="16" xfId="1" applyNumberFormat="1" applyFont="1" applyFill="1" applyBorder="1" applyAlignment="1">
      <alignment horizontal="center" vertical="center"/>
    </xf>
    <xf numFmtId="165" fontId="132" fillId="3" borderId="17" xfId="1" applyNumberFormat="1" applyFont="1" applyFill="1" applyBorder="1" applyAlignment="1">
      <alignment horizontal="center" vertical="center"/>
    </xf>
    <xf numFmtId="0" fontId="132" fillId="8" borderId="1" xfId="4" applyFont="1" applyFill="1" applyBorder="1" applyAlignment="1">
      <alignment horizontal="center" vertical="center"/>
    </xf>
    <xf numFmtId="43" fontId="133" fillId="8" borderId="4" xfId="1" applyFont="1" applyFill="1" applyBorder="1" applyAlignment="1">
      <alignment horizontal="right" vertical="center"/>
    </xf>
    <xf numFmtId="43" fontId="133" fillId="8" borderId="5" xfId="1" applyFont="1" applyFill="1" applyBorder="1" applyAlignment="1">
      <alignment horizontal="right" vertical="center"/>
    </xf>
    <xf numFmtId="43" fontId="132" fillId="6" borderId="16" xfId="1" applyFont="1" applyFill="1" applyBorder="1" applyAlignment="1">
      <alignment horizontal="right" vertical="center"/>
    </xf>
    <xf numFmtId="43" fontId="132" fillId="6" borderId="17" xfId="1" applyFont="1" applyFill="1" applyBorder="1" applyAlignment="1">
      <alignment horizontal="right" vertical="center"/>
    </xf>
    <xf numFmtId="49" fontId="133" fillId="0" borderId="1" xfId="4" applyNumberFormat="1" applyFont="1" applyBorder="1" applyAlignment="1">
      <alignment horizontal="center" vertical="center"/>
    </xf>
    <xf numFmtId="43" fontId="133" fillId="9" borderId="4" xfId="1" applyFont="1" applyFill="1" applyBorder="1" applyAlignment="1">
      <alignment horizontal="right" vertical="center"/>
    </xf>
    <xf numFmtId="49" fontId="132" fillId="8" borderId="1" xfId="4" applyNumberFormat="1" applyFont="1" applyFill="1" applyBorder="1" applyAlignment="1">
      <alignment horizontal="center" vertical="center"/>
    </xf>
    <xf numFmtId="49" fontId="132" fillId="0" borderId="1" xfId="4" applyNumberFormat="1" applyFont="1" applyBorder="1" applyAlignment="1">
      <alignment horizontal="center" vertical="center"/>
    </xf>
    <xf numFmtId="43" fontId="133" fillId="0" borderId="4" xfId="1" applyFont="1" applyFill="1" applyBorder="1" applyAlignment="1">
      <alignment horizontal="right" vertical="center"/>
    </xf>
    <xf numFmtId="43" fontId="133" fillId="0" borderId="5" xfId="1" applyFont="1" applyFill="1" applyBorder="1" applyAlignment="1">
      <alignment horizontal="right" vertical="center"/>
    </xf>
    <xf numFmtId="0" fontId="133" fillId="8" borderId="4" xfId="4" applyFont="1" applyFill="1" applyBorder="1" applyAlignment="1">
      <alignment horizontal="left" vertical="center"/>
    </xf>
    <xf numFmtId="0" fontId="132" fillId="0" borderId="1" xfId="4" applyFont="1" applyBorder="1" applyAlignment="1">
      <alignment horizontal="center" vertical="center"/>
    </xf>
    <xf numFmtId="43" fontId="132" fillId="8" borderId="4" xfId="1" applyFont="1" applyFill="1" applyBorder="1" applyAlignment="1">
      <alignment horizontal="right" vertical="center"/>
    </xf>
    <xf numFmtId="43" fontId="132" fillId="8" borderId="5" xfId="1" applyFont="1" applyFill="1" applyBorder="1" applyAlignment="1">
      <alignment horizontal="right" vertical="center"/>
    </xf>
    <xf numFmtId="43" fontId="132" fillId="0" borderId="4" xfId="1" applyFont="1" applyFill="1" applyBorder="1" applyAlignment="1">
      <alignment horizontal="right" vertical="center"/>
    </xf>
    <xf numFmtId="2" fontId="132" fillId="8" borderId="1" xfId="4" applyNumberFormat="1" applyFont="1" applyFill="1" applyBorder="1" applyAlignment="1">
      <alignment horizontal="center" vertical="center"/>
    </xf>
    <xf numFmtId="49" fontId="133" fillId="8" borderId="1" xfId="4" applyNumberFormat="1" applyFont="1" applyFill="1" applyBorder="1" applyAlignment="1">
      <alignment horizontal="center" vertical="center"/>
    </xf>
    <xf numFmtId="43" fontId="132" fillId="3" borderId="6" xfId="1" applyFont="1" applyFill="1" applyBorder="1" applyAlignment="1">
      <alignment horizontal="right" vertical="center"/>
    </xf>
    <xf numFmtId="43" fontId="132" fillId="3" borderId="11" xfId="1" applyFont="1" applyFill="1" applyBorder="1" applyAlignment="1">
      <alignment horizontal="right" vertical="center"/>
    </xf>
    <xf numFmtId="43" fontId="132" fillId="3" borderId="13" xfId="1" applyFont="1" applyFill="1" applyBorder="1" applyAlignment="1">
      <alignment horizontal="right" vertical="center"/>
    </xf>
    <xf numFmtId="43" fontId="132" fillId="3" borderId="14" xfId="1" applyFont="1" applyFill="1" applyBorder="1" applyAlignment="1">
      <alignment horizontal="right" vertical="center"/>
    </xf>
    <xf numFmtId="43" fontId="133" fillId="0" borderId="2" xfId="1" applyFont="1" applyFill="1" applyBorder="1" applyAlignment="1">
      <alignment horizontal="right" vertical="center"/>
    </xf>
    <xf numFmtId="43" fontId="132" fillId="8" borderId="13" xfId="1" applyFont="1" applyFill="1" applyBorder="1" applyAlignment="1">
      <alignment horizontal="right" vertical="center"/>
    </xf>
    <xf numFmtId="0" fontId="133" fillId="0" borderId="0" xfId="4" applyFont="1" applyFill="1" applyAlignment="1">
      <alignment vertical="center"/>
    </xf>
    <xf numFmtId="0" fontId="133" fillId="0" borderId="0" xfId="4" applyFont="1" applyFill="1"/>
    <xf numFmtId="165" fontId="133" fillId="0" borderId="0" xfId="1" applyNumberFormat="1" applyFont="1" applyFill="1"/>
    <xf numFmtId="165" fontId="132" fillId="10" borderId="0" xfId="1" applyNumberFormat="1" applyFont="1" applyFill="1" applyBorder="1" applyAlignment="1">
      <alignment horizontal="center" vertical="center"/>
    </xf>
    <xf numFmtId="0" fontId="133" fillId="0" borderId="0" xfId="4" applyFont="1"/>
    <xf numFmtId="174" fontId="133" fillId="4" borderId="4" xfId="483" applyNumberFormat="1" applyFont="1" applyFill="1" applyBorder="1"/>
    <xf numFmtId="165" fontId="132" fillId="0" borderId="0" xfId="1" applyNumberFormat="1" applyFont="1" applyFill="1" applyAlignment="1">
      <alignment horizontal="right"/>
    </xf>
    <xf numFmtId="178" fontId="132" fillId="4" borderId="4" xfId="483" applyNumberFormat="1" applyFont="1" applyFill="1" applyBorder="1" applyAlignment="1">
      <alignment vertical="center"/>
    </xf>
    <xf numFmtId="0" fontId="136" fillId="0" borderId="0" xfId="4" applyFont="1" applyFill="1" applyAlignment="1">
      <alignment vertical="center"/>
    </xf>
    <xf numFmtId="9" fontId="137" fillId="9" borderId="4" xfId="483" applyNumberFormat="1" applyFont="1" applyFill="1" applyBorder="1"/>
    <xf numFmtId="0" fontId="136" fillId="0" borderId="0" xfId="4" applyFont="1" applyFill="1"/>
    <xf numFmtId="165" fontId="132" fillId="0" borderId="0" xfId="1" applyNumberFormat="1" applyFont="1" applyFill="1"/>
    <xf numFmtId="0" fontId="133" fillId="0" borderId="0" xfId="4" applyFont="1" applyFill="1" applyBorder="1"/>
    <xf numFmtId="0" fontId="132" fillId="0" borderId="0" xfId="4" applyFont="1" applyFill="1" applyAlignment="1">
      <alignment vertical="center"/>
    </xf>
    <xf numFmtId="0" fontId="112" fillId="2" borderId="1" xfId="0" applyFont="1" applyFill="1" applyBorder="1" applyAlignment="1">
      <alignment horizontal="center" vertical="center"/>
    </xf>
    <xf numFmtId="175" fontId="112" fillId="2" borderId="4" xfId="1" applyNumberFormat="1" applyFont="1" applyFill="1" applyBorder="1" applyAlignment="1">
      <alignment vertical="center"/>
    </xf>
    <xf numFmtId="175" fontId="112" fillId="2" borderId="22" xfId="1" applyNumberFormat="1" applyFont="1" applyFill="1" applyBorder="1" applyAlignment="1">
      <alignment vertical="center"/>
    </xf>
    <xf numFmtId="171" fontId="112" fillId="2" borderId="5" xfId="0" applyNumberFormat="1" applyFont="1" applyFill="1" applyBorder="1" applyAlignment="1">
      <alignment vertical="center"/>
    </xf>
    <xf numFmtId="0" fontId="2" fillId="22" borderId="1" xfId="483" applyFont="1" applyFill="1" applyBorder="1" applyAlignment="1">
      <alignment horizontal="center" vertical="center" wrapText="1"/>
    </xf>
    <xf numFmtId="0" fontId="2" fillId="22" borderId="4" xfId="483" applyFont="1" applyFill="1" applyBorder="1" applyAlignment="1">
      <alignment horizontal="center" vertical="center" wrapText="1"/>
    </xf>
    <xf numFmtId="4" fontId="2" fillId="22" borderId="4" xfId="483" applyNumberFormat="1" applyFont="1" applyFill="1" applyBorder="1" applyAlignment="1">
      <alignment horizontal="right" vertical="center"/>
    </xf>
    <xf numFmtId="4" fontId="2" fillId="22" borderId="5" xfId="483" applyNumberFormat="1" applyFont="1" applyFill="1" applyBorder="1" applyAlignment="1">
      <alignment horizontal="right" vertical="center"/>
    </xf>
    <xf numFmtId="0" fontId="6" fillId="22" borderId="4" xfId="483" applyFont="1" applyFill="1" applyBorder="1" applyAlignment="1">
      <alignment horizontal="center" vertical="center" wrapText="1"/>
    </xf>
    <xf numFmtId="0" fontId="2" fillId="22" borderId="2" xfId="483" applyFont="1" applyFill="1" applyBorder="1" applyAlignment="1">
      <alignment horizontal="center" vertical="center" wrapText="1"/>
    </xf>
    <xf numFmtId="16" fontId="2" fillId="22" borderId="1" xfId="483" applyNumberFormat="1" applyFont="1" applyFill="1" applyBorder="1" applyAlignment="1">
      <alignment horizontal="center" vertical="center"/>
    </xf>
    <xf numFmtId="9" fontId="2" fillId="22" borderId="4" xfId="483" applyNumberFormat="1" applyFont="1" applyFill="1" applyBorder="1" applyAlignment="1">
      <alignment horizontal="center" vertical="center" wrapText="1"/>
    </xf>
    <xf numFmtId="0" fontId="2" fillId="22" borderId="1" xfId="483" applyFont="1" applyFill="1" applyBorder="1" applyAlignment="1">
      <alignment horizontal="center" vertical="center"/>
    </xf>
    <xf numFmtId="165" fontId="37" fillId="20" borderId="19" xfId="1" applyNumberFormat="1" applyFont="1" applyFill="1" applyBorder="1" applyAlignment="1">
      <alignment horizontal="center" vertical="center"/>
    </xf>
    <xf numFmtId="165" fontId="37" fillId="20" borderId="2" xfId="1" applyNumberFormat="1" applyFont="1" applyFill="1" applyBorder="1" applyAlignment="1">
      <alignment horizontal="center" vertical="center"/>
    </xf>
    <xf numFmtId="165" fontId="37" fillId="20" borderId="3" xfId="1" applyNumberFormat="1" applyFont="1" applyFill="1" applyBorder="1" applyAlignment="1">
      <alignment horizontal="center" vertical="center"/>
    </xf>
    <xf numFmtId="165" fontId="37" fillId="20" borderId="58" xfId="1" applyNumberFormat="1" applyFont="1" applyFill="1" applyBorder="1" applyAlignment="1">
      <alignment horizontal="center" vertical="center"/>
    </xf>
    <xf numFmtId="168" fontId="112" fillId="2" borderId="4" xfId="0" applyNumberFormat="1" applyFont="1" applyFill="1" applyBorder="1" applyAlignment="1">
      <alignment vertical="center" wrapText="1"/>
    </xf>
    <xf numFmtId="175" fontId="114" fillId="2" borderId="4" xfId="1" applyNumberFormat="1" applyFont="1" applyFill="1" applyBorder="1" applyAlignment="1">
      <alignment vertical="center"/>
    </xf>
    <xf numFmtId="171" fontId="110" fillId="2" borderId="5" xfId="1" applyNumberFormat="1" applyFont="1" applyFill="1" applyBorder="1" applyAlignment="1">
      <alignment vertical="center"/>
    </xf>
    <xf numFmtId="0" fontId="37" fillId="23" borderId="1" xfId="4" applyFont="1" applyFill="1" applyBorder="1" applyAlignment="1">
      <alignment horizontal="center" vertical="center"/>
    </xf>
    <xf numFmtId="175" fontId="28" fillId="23" borderId="58" xfId="1" applyNumberFormat="1" applyFont="1" applyFill="1" applyBorder="1" applyAlignment="1">
      <alignment horizontal="right" vertical="center"/>
    </xf>
    <xf numFmtId="175" fontId="28" fillId="23" borderId="2" xfId="1" applyNumberFormat="1" applyFont="1" applyFill="1" applyBorder="1" applyAlignment="1">
      <alignment horizontal="right" vertical="center"/>
    </xf>
    <xf numFmtId="175" fontId="28" fillId="23" borderId="3" xfId="1" applyNumberFormat="1" applyFont="1" applyFill="1" applyBorder="1" applyAlignment="1">
      <alignment horizontal="right" vertical="center"/>
    </xf>
    <xf numFmtId="175" fontId="28" fillId="23" borderId="1" xfId="1" applyNumberFormat="1" applyFont="1" applyFill="1" applyBorder="1" applyAlignment="1">
      <alignment horizontal="right" vertical="center"/>
    </xf>
    <xf numFmtId="175" fontId="28" fillId="23" borderId="4" xfId="1" applyNumberFormat="1" applyFont="1" applyFill="1" applyBorder="1" applyAlignment="1">
      <alignment horizontal="right" vertical="center"/>
    </xf>
    <xf numFmtId="43" fontId="81" fillId="23" borderId="58" xfId="1" applyFont="1" applyFill="1" applyBorder="1" applyAlignment="1">
      <alignment horizontal="right" vertical="center"/>
    </xf>
    <xf numFmtId="43" fontId="81" fillId="23" borderId="2" xfId="1" applyFont="1" applyFill="1" applyBorder="1" applyAlignment="1">
      <alignment horizontal="right" vertical="center"/>
    </xf>
    <xf numFmtId="43" fontId="81" fillId="23" borderId="3" xfId="1" applyFont="1" applyFill="1" applyBorder="1" applyAlignment="1">
      <alignment horizontal="right" vertical="center"/>
    </xf>
    <xf numFmtId="175" fontId="81" fillId="23" borderId="38" xfId="1" applyNumberFormat="1" applyFont="1" applyFill="1" applyBorder="1" applyAlignment="1">
      <alignment horizontal="right" vertical="center"/>
    </xf>
    <xf numFmtId="175" fontId="28" fillId="7" borderId="4" xfId="1" applyNumberFormat="1" applyFont="1" applyFill="1" applyBorder="1" applyAlignment="1">
      <alignment horizontal="right" vertical="center"/>
    </xf>
    <xf numFmtId="4" fontId="103" fillId="2" borderId="0" xfId="0" applyNumberFormat="1" applyFont="1" applyFill="1" applyAlignment="1">
      <alignment vertical="center"/>
    </xf>
    <xf numFmtId="168" fontId="103" fillId="18" borderId="0" xfId="0" applyNumberFormat="1" applyFont="1" applyFill="1" applyAlignment="1">
      <alignment horizontal="center" vertical="center"/>
    </xf>
    <xf numFmtId="168" fontId="103" fillId="18" borderId="0" xfId="0" applyNumberFormat="1" applyFont="1" applyFill="1" applyAlignment="1">
      <alignment vertical="center" wrapText="1"/>
    </xf>
    <xf numFmtId="4" fontId="103" fillId="18" borderId="0" xfId="0" applyNumberFormat="1" applyFont="1" applyFill="1" applyAlignment="1">
      <alignment vertical="center"/>
    </xf>
    <xf numFmtId="168" fontId="6" fillId="18" borderId="0" xfId="0" applyNumberFormat="1" applyFont="1" applyFill="1" applyAlignment="1">
      <alignment vertical="center"/>
    </xf>
    <xf numFmtId="0" fontId="103" fillId="18" borderId="0" xfId="0" applyFont="1" applyFill="1" applyAlignment="1">
      <alignment vertical="center"/>
    </xf>
    <xf numFmtId="168" fontId="6" fillId="18" borderId="0" xfId="1" applyNumberFormat="1" applyFont="1" applyFill="1" applyAlignment="1">
      <alignment horizontal="right"/>
    </xf>
    <xf numFmtId="0" fontId="113" fillId="5" borderId="1" xfId="0" applyFont="1" applyFill="1" applyBorder="1" applyAlignment="1">
      <alignment horizontal="center" vertical="center"/>
    </xf>
    <xf numFmtId="168" fontId="113" fillId="5" borderId="4" xfId="0" applyNumberFormat="1" applyFont="1" applyFill="1" applyBorder="1" applyAlignment="1">
      <alignment vertical="center" wrapText="1"/>
    </xf>
    <xf numFmtId="175" fontId="113" fillId="5" borderId="4" xfId="1" applyNumberFormat="1" applyFont="1" applyFill="1" applyBorder="1" applyAlignment="1">
      <alignment vertical="center"/>
    </xf>
    <xf numFmtId="175" fontId="113" fillId="5" borderId="22" xfId="1" applyNumberFormat="1" applyFont="1" applyFill="1" applyBorder="1" applyAlignment="1">
      <alignment vertical="center"/>
    </xf>
    <xf numFmtId="171" fontId="113" fillId="5" borderId="5" xfId="0" applyNumberFormat="1" applyFont="1" applyFill="1" applyBorder="1" applyAlignment="1">
      <alignment vertical="center"/>
    </xf>
    <xf numFmtId="0" fontId="106" fillId="6" borderId="0" xfId="0" applyFont="1" applyFill="1" applyAlignment="1">
      <alignment horizontal="left" vertical="center" wrapText="1"/>
    </xf>
    <xf numFmtId="43" fontId="132" fillId="2" borderId="5" xfId="1" applyFont="1" applyFill="1" applyBorder="1" applyAlignment="1">
      <alignment horizontal="right" vertical="center"/>
    </xf>
    <xf numFmtId="43" fontId="133" fillId="2" borderId="5" xfId="1" applyFont="1" applyFill="1" applyBorder="1" applyAlignment="1">
      <alignment horizontal="right" vertical="center"/>
    </xf>
    <xf numFmtId="43" fontId="80" fillId="6" borderId="12" xfId="1" applyFont="1" applyFill="1" applyBorder="1" applyAlignment="1">
      <alignment horizontal="center" vertical="center"/>
    </xf>
    <xf numFmtId="43" fontId="80" fillId="6" borderId="13" xfId="1" applyFont="1" applyFill="1" applyBorder="1" applyAlignment="1">
      <alignment horizontal="center" vertical="center"/>
    </xf>
    <xf numFmtId="43" fontId="80" fillId="6" borderId="14" xfId="1" applyFont="1" applyFill="1" applyBorder="1" applyAlignment="1">
      <alignment horizontal="center" vertical="center"/>
    </xf>
    <xf numFmtId="0" fontId="80" fillId="6" borderId="12" xfId="1228" applyFont="1" applyFill="1" applyBorder="1" applyAlignment="1">
      <alignment horizontal="center" vertical="center"/>
    </xf>
    <xf numFmtId="0" fontId="80" fillId="6" borderId="13" xfId="1228" applyFont="1" applyFill="1" applyBorder="1" applyAlignment="1">
      <alignment horizontal="center" vertical="center"/>
    </xf>
    <xf numFmtId="0" fontId="80" fillId="6" borderId="14" xfId="1228" applyFont="1" applyFill="1" applyBorder="1" applyAlignment="1">
      <alignment horizontal="center" vertical="center"/>
    </xf>
    <xf numFmtId="0" fontId="80" fillId="6" borderId="10" xfId="1228" applyFont="1" applyFill="1" applyBorder="1" applyAlignment="1">
      <alignment horizontal="center" vertical="center"/>
    </xf>
    <xf numFmtId="0" fontId="80" fillId="6" borderId="6" xfId="1228" applyFont="1" applyFill="1" applyBorder="1" applyAlignment="1">
      <alignment horizontal="center" vertical="center"/>
    </xf>
    <xf numFmtId="0" fontId="80" fillId="6" borderId="11" xfId="1228" applyFont="1" applyFill="1" applyBorder="1" applyAlignment="1">
      <alignment horizontal="center" vertical="center"/>
    </xf>
    <xf numFmtId="2" fontId="77" fillId="2" borderId="0" xfId="4" applyNumberFormat="1" applyFont="1" applyFill="1" applyAlignment="1">
      <alignment horizontal="center"/>
    </xf>
    <xf numFmtId="2" fontId="127" fillId="2" borderId="0" xfId="4" applyNumberFormat="1" applyFont="1" applyFill="1" applyAlignment="1">
      <alignment horizontal="center"/>
    </xf>
    <xf numFmtId="2" fontId="126" fillId="2" borderId="0" xfId="4" applyNumberFormat="1" applyFont="1" applyFill="1" applyAlignment="1">
      <alignment horizontal="center"/>
    </xf>
    <xf numFmtId="2" fontId="37" fillId="2" borderId="0" xfId="4" applyNumberFormat="1" applyFont="1" applyFill="1" applyAlignment="1">
      <alignment horizontal="center"/>
    </xf>
    <xf numFmtId="2" fontId="79" fillId="2" borderId="0" xfId="4" applyNumberFormat="1" applyFont="1" applyFill="1" applyAlignment="1">
      <alignment horizontal="center"/>
    </xf>
    <xf numFmtId="0" fontId="37" fillId="20" borderId="33" xfId="4" applyFont="1" applyFill="1" applyBorder="1" applyAlignment="1">
      <alignment horizontal="center" vertical="center" wrapText="1"/>
    </xf>
    <xf numFmtId="0" fontId="37" fillId="20" borderId="36" xfId="4" applyFont="1" applyFill="1" applyBorder="1" applyAlignment="1">
      <alignment horizontal="center" vertical="center" wrapText="1"/>
    </xf>
    <xf numFmtId="0" fontId="37" fillId="20" borderId="34" xfId="4" applyFont="1" applyFill="1" applyBorder="1" applyAlignment="1">
      <alignment horizontal="center" vertical="center" wrapText="1"/>
    </xf>
    <xf numFmtId="0" fontId="37" fillId="20" borderId="8" xfId="4" applyFont="1" applyFill="1" applyBorder="1" applyAlignment="1">
      <alignment horizontal="center" vertical="center" wrapText="1"/>
    </xf>
    <xf numFmtId="0" fontId="37" fillId="20" borderId="9" xfId="4" applyFont="1" applyFill="1" applyBorder="1" applyAlignment="1">
      <alignment horizontal="center" vertical="center" wrapText="1"/>
    </xf>
    <xf numFmtId="0" fontId="37" fillId="20" borderId="37" xfId="4" applyFont="1" applyFill="1" applyBorder="1" applyAlignment="1">
      <alignment horizontal="center" vertical="center" wrapText="1"/>
    </xf>
    <xf numFmtId="0" fontId="37" fillId="20" borderId="0" xfId="4" applyFont="1" applyFill="1" applyBorder="1" applyAlignment="1">
      <alignment horizontal="center" vertical="center" wrapText="1"/>
    </xf>
    <xf numFmtId="0" fontId="37" fillId="20" borderId="24" xfId="4" applyFont="1" applyFill="1" applyBorder="1" applyAlignment="1">
      <alignment horizontal="center" vertical="center" wrapText="1"/>
    </xf>
    <xf numFmtId="165" fontId="37" fillId="20" borderId="55" xfId="1" applyNumberFormat="1" applyFont="1" applyFill="1" applyBorder="1" applyAlignment="1">
      <alignment horizontal="center" vertical="center"/>
    </xf>
    <xf numFmtId="165" fontId="37" fillId="20" borderId="70" xfId="1" applyNumberFormat="1" applyFont="1" applyFill="1" applyBorder="1" applyAlignment="1">
      <alignment horizontal="center" vertical="center"/>
    </xf>
    <xf numFmtId="165" fontId="37" fillId="20" borderId="18" xfId="1" applyNumberFormat="1" applyFont="1" applyFill="1" applyBorder="1" applyAlignment="1">
      <alignment horizontal="center" vertical="center"/>
    </xf>
    <xf numFmtId="165" fontId="37" fillId="20" borderId="56" xfId="1" applyNumberFormat="1" applyFont="1" applyFill="1" applyBorder="1" applyAlignment="1">
      <alignment horizontal="center" vertical="center" wrapText="1"/>
    </xf>
    <xf numFmtId="165" fontId="37" fillId="20" borderId="6" xfId="1" applyNumberFormat="1" applyFont="1" applyFill="1" applyBorder="1" applyAlignment="1">
      <alignment horizontal="center" vertical="center" wrapText="1"/>
    </xf>
    <xf numFmtId="165" fontId="37" fillId="20" borderId="11" xfId="1" applyNumberFormat="1" applyFont="1" applyFill="1" applyBorder="1" applyAlignment="1">
      <alignment horizontal="center" vertical="center" wrapText="1"/>
    </xf>
    <xf numFmtId="165" fontId="37" fillId="20" borderId="68" xfId="1" applyNumberFormat="1" applyFont="1" applyFill="1" applyBorder="1" applyAlignment="1">
      <alignment horizontal="center" vertical="center" wrapText="1"/>
    </xf>
    <xf numFmtId="0" fontId="128" fillId="0" borderId="69" xfId="0" applyFont="1" applyBorder="1" applyAlignment="1">
      <alignment horizontal="center" vertical="center" wrapText="1"/>
    </xf>
    <xf numFmtId="0" fontId="37" fillId="9" borderId="2" xfId="4" applyFont="1" applyFill="1" applyBorder="1" applyAlignment="1">
      <alignment horizontal="left" vertical="center"/>
    </xf>
    <xf numFmtId="0" fontId="37" fillId="9" borderId="3" xfId="4" applyFont="1" applyFill="1" applyBorder="1" applyAlignment="1">
      <alignment horizontal="left" vertical="center"/>
    </xf>
    <xf numFmtId="0" fontId="36" fillId="23" borderId="4" xfId="4" applyFont="1" applyFill="1" applyBorder="1" applyAlignment="1">
      <alignment horizontal="left" vertical="center"/>
    </xf>
    <xf numFmtId="0" fontId="36" fillId="23" borderId="5" xfId="4" applyFont="1" applyFill="1" applyBorder="1" applyAlignment="1">
      <alignment horizontal="left" vertical="center"/>
    </xf>
    <xf numFmtId="0" fontId="28" fillId="2" borderId="19" xfId="1228" applyFont="1" applyFill="1" applyBorder="1" applyAlignment="1">
      <alignment horizontal="left" vertical="center" wrapText="1"/>
    </xf>
    <xf numFmtId="0" fontId="28" fillId="2" borderId="2" xfId="1228" applyFont="1" applyFill="1" applyBorder="1" applyAlignment="1">
      <alignment horizontal="left" vertical="center" wrapText="1"/>
    </xf>
    <xf numFmtId="0" fontId="28" fillId="2" borderId="3" xfId="1228" applyFont="1" applyFill="1" applyBorder="1" applyAlignment="1">
      <alignment horizontal="left" vertical="center" wrapText="1"/>
    </xf>
    <xf numFmtId="0" fontId="37" fillId="6" borderId="12" xfId="4" applyFont="1" applyFill="1" applyBorder="1" applyAlignment="1">
      <alignment horizontal="left" vertical="center"/>
    </xf>
    <xf numFmtId="0" fontId="37" fillId="6" borderId="13" xfId="4" applyFont="1" applyFill="1" applyBorder="1" applyAlignment="1">
      <alignment horizontal="left" vertical="center"/>
    </xf>
    <xf numFmtId="0" fontId="37" fillId="6" borderId="14" xfId="4" applyFont="1" applyFill="1" applyBorder="1" applyAlignment="1">
      <alignment horizontal="left" vertical="center"/>
    </xf>
    <xf numFmtId="43" fontId="80" fillId="6" borderId="61" xfId="1" applyFont="1" applyFill="1" applyBorder="1" applyAlignment="1">
      <alignment horizontal="center" vertical="center"/>
    </xf>
    <xf numFmtId="0" fontId="28" fillId="2" borderId="15" xfId="1228" applyFont="1" applyFill="1" applyBorder="1" applyAlignment="1">
      <alignment horizontal="left" vertical="center" wrapText="1"/>
    </xf>
    <xf numFmtId="0" fontId="28" fillId="2" borderId="16" xfId="1228" applyFont="1" applyFill="1" applyBorder="1" applyAlignment="1">
      <alignment horizontal="left" vertical="center" wrapText="1"/>
    </xf>
    <xf numFmtId="0" fontId="28" fillId="2" borderId="17" xfId="1228" applyFont="1" applyFill="1" applyBorder="1" applyAlignment="1">
      <alignment horizontal="left" vertical="center" wrapText="1"/>
    </xf>
    <xf numFmtId="43" fontId="81" fillId="2" borderId="50" xfId="1" applyFont="1" applyFill="1" applyBorder="1" applyAlignment="1">
      <alignment horizontal="center" vertical="center" wrapText="1"/>
    </xf>
    <xf numFmtId="43" fontId="81" fillId="2" borderId="51" xfId="1" applyFont="1" applyFill="1" applyBorder="1" applyAlignment="1">
      <alignment horizontal="center" vertical="center" wrapText="1"/>
    </xf>
    <xf numFmtId="43" fontId="81" fillId="2" borderId="52" xfId="1" applyFont="1" applyFill="1" applyBorder="1" applyAlignment="1">
      <alignment horizontal="center" vertical="center" wrapText="1"/>
    </xf>
    <xf numFmtId="43" fontId="80" fillId="6" borderId="10" xfId="1" applyFont="1" applyFill="1" applyBorder="1" applyAlignment="1">
      <alignment horizontal="center" vertical="center"/>
    </xf>
    <xf numFmtId="43" fontId="80" fillId="6" borderId="6" xfId="1" applyFont="1" applyFill="1" applyBorder="1" applyAlignment="1">
      <alignment horizontal="center" vertical="center"/>
    </xf>
    <xf numFmtId="43" fontId="80" fillId="6" borderId="11" xfId="1" applyFont="1" applyFill="1" applyBorder="1" applyAlignment="1">
      <alignment horizontal="center" vertical="center"/>
    </xf>
    <xf numFmtId="43" fontId="80" fillId="6" borderId="56" xfId="1" applyFont="1" applyFill="1" applyBorder="1" applyAlignment="1">
      <alignment horizontal="center" vertical="center"/>
    </xf>
    <xf numFmtId="175" fontId="80" fillId="6" borderId="67" xfId="1" applyNumberFormat="1" applyFont="1" applyFill="1" applyBorder="1" applyAlignment="1">
      <alignment horizontal="center" vertical="center" wrapText="1"/>
    </xf>
    <xf numFmtId="175" fontId="80" fillId="6" borderId="64" xfId="1" applyNumberFormat="1" applyFont="1" applyFill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175" fontId="80" fillId="6" borderId="29" xfId="1" applyNumberFormat="1" applyFont="1" applyFill="1" applyBorder="1" applyAlignment="1">
      <alignment horizontal="center" vertical="center" wrapText="1"/>
    </xf>
    <xf numFmtId="175" fontId="80" fillId="6" borderId="45" xfId="1" applyNumberFormat="1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43" fontId="81" fillId="2" borderId="47" xfId="1" applyFont="1" applyFill="1" applyBorder="1" applyAlignment="1">
      <alignment horizontal="center" vertical="center" wrapText="1"/>
    </xf>
    <xf numFmtId="43" fontId="81" fillId="2" borderId="48" xfId="1" applyFont="1" applyFill="1" applyBorder="1" applyAlignment="1">
      <alignment horizontal="center" vertical="center" wrapText="1"/>
    </xf>
    <xf numFmtId="43" fontId="81" fillId="2" borderId="42" xfId="1" applyFont="1" applyFill="1" applyBorder="1" applyAlignment="1">
      <alignment horizontal="center" vertical="center" wrapText="1"/>
    </xf>
    <xf numFmtId="43" fontId="81" fillId="2" borderId="48" xfId="1" applyFont="1" applyFill="1" applyBorder="1" applyAlignment="1">
      <alignment horizontal="center" vertical="center"/>
    </xf>
    <xf numFmtId="43" fontId="80" fillId="6" borderId="29" xfId="1" applyFont="1" applyFill="1" applyBorder="1" applyAlignment="1">
      <alignment horizontal="center" vertical="center"/>
    </xf>
    <xf numFmtId="43" fontId="80" fillId="6" borderId="45" xfId="1" applyFont="1" applyFill="1" applyBorder="1" applyAlignment="1">
      <alignment horizontal="center" vertical="center"/>
    </xf>
    <xf numFmtId="43" fontId="80" fillId="6" borderId="39" xfId="1" applyFont="1" applyFill="1" applyBorder="1" applyAlignment="1">
      <alignment horizontal="center" vertical="center"/>
    </xf>
    <xf numFmtId="0" fontId="36" fillId="2" borderId="4" xfId="4" applyFont="1" applyFill="1" applyBorder="1" applyAlignment="1">
      <alignment horizontal="left" vertical="center"/>
    </xf>
    <xf numFmtId="0" fontId="36" fillId="2" borderId="5" xfId="4" applyFont="1" applyFill="1" applyBorder="1" applyAlignment="1">
      <alignment horizontal="left" vertical="center"/>
    </xf>
    <xf numFmtId="0" fontId="37" fillId="9" borderId="4" xfId="4" applyFont="1" applyFill="1" applyBorder="1" applyAlignment="1">
      <alignment horizontal="left" vertical="center"/>
    </xf>
    <xf numFmtId="0" fontId="37" fillId="9" borderId="5" xfId="4" applyFont="1" applyFill="1" applyBorder="1" applyAlignment="1">
      <alignment horizontal="left" vertical="center"/>
    </xf>
    <xf numFmtId="43" fontId="80" fillId="6" borderId="40" xfId="1" applyFont="1" applyFill="1" applyBorder="1" applyAlignment="1">
      <alignment horizontal="center" vertical="center"/>
    </xf>
    <xf numFmtId="43" fontId="80" fillId="6" borderId="41" xfId="1" applyFont="1" applyFill="1" applyBorder="1" applyAlignment="1">
      <alignment horizontal="center" vertical="center"/>
    </xf>
    <xf numFmtId="43" fontId="80" fillId="6" borderId="38" xfId="1" applyFont="1" applyFill="1" applyBorder="1" applyAlignment="1">
      <alignment horizontal="center" vertical="center"/>
    </xf>
    <xf numFmtId="0" fontId="36" fillId="2" borderId="16" xfId="4" applyFont="1" applyFill="1" applyBorder="1" applyAlignment="1">
      <alignment horizontal="left" vertical="center" wrapText="1"/>
    </xf>
    <xf numFmtId="0" fontId="36" fillId="2" borderId="16" xfId="4" applyFont="1" applyFill="1" applyBorder="1" applyAlignment="1">
      <alignment horizontal="left" vertical="center"/>
    </xf>
    <xf numFmtId="0" fontId="36" fillId="2" borderId="17" xfId="4" applyFont="1" applyFill="1" applyBorder="1" applyAlignment="1">
      <alignment horizontal="left" vertical="center"/>
    </xf>
    <xf numFmtId="0" fontId="37" fillId="6" borderId="1" xfId="4" applyFont="1" applyFill="1" applyBorder="1" applyAlignment="1">
      <alignment horizontal="left" vertical="center"/>
    </xf>
    <xf numFmtId="0" fontId="37" fillId="6" borderId="4" xfId="4" applyFont="1" applyFill="1" applyBorder="1" applyAlignment="1">
      <alignment horizontal="left" vertical="center"/>
    </xf>
    <xf numFmtId="0" fontId="37" fillId="6" borderId="5" xfId="4" applyFont="1" applyFill="1" applyBorder="1" applyAlignment="1">
      <alignment horizontal="left" vertical="center"/>
    </xf>
    <xf numFmtId="0" fontId="36" fillId="2" borderId="4" xfId="4" applyFont="1" applyFill="1" applyBorder="1" applyAlignment="1">
      <alignment horizontal="left" vertical="center" wrapText="1"/>
    </xf>
    <xf numFmtId="0" fontId="36" fillId="2" borderId="5" xfId="4" applyFont="1" applyFill="1" applyBorder="1" applyAlignment="1">
      <alignment horizontal="left" vertical="center" wrapText="1"/>
    </xf>
    <xf numFmtId="0" fontId="36" fillId="23" borderId="4" xfId="4" applyFont="1" applyFill="1" applyBorder="1" applyAlignment="1">
      <alignment horizontal="left" vertical="center" wrapText="1"/>
    </xf>
    <xf numFmtId="0" fontId="36" fillId="23" borderId="5" xfId="4" applyFont="1" applyFill="1" applyBorder="1" applyAlignment="1">
      <alignment horizontal="left" vertical="center" wrapText="1"/>
    </xf>
    <xf numFmtId="0" fontId="64" fillId="8" borderId="12" xfId="1228" applyFont="1" applyFill="1" applyBorder="1" applyAlignment="1">
      <alignment horizontal="left" vertical="center"/>
    </xf>
    <xf numFmtId="0" fontId="64" fillId="8" borderId="13" xfId="1228" applyFont="1" applyFill="1" applyBorder="1" applyAlignment="1">
      <alignment horizontal="left" vertical="center"/>
    </xf>
    <xf numFmtId="0" fontId="63" fillId="6" borderId="15" xfId="4" applyFont="1" applyFill="1" applyBorder="1" applyAlignment="1">
      <alignment horizontal="left" vertical="center"/>
    </xf>
    <xf numFmtId="0" fontId="63" fillId="6" borderId="16" xfId="4" applyFont="1" applyFill="1" applyBorder="1" applyAlignment="1">
      <alignment horizontal="left" vertical="center"/>
    </xf>
    <xf numFmtId="0" fontId="63" fillId="3" borderId="10" xfId="4" applyFont="1" applyFill="1" applyBorder="1" applyAlignment="1">
      <alignment horizontal="left" vertical="center"/>
    </xf>
    <xf numFmtId="0" fontId="63" fillId="3" borderId="6" xfId="4" applyFont="1" applyFill="1" applyBorder="1" applyAlignment="1">
      <alignment horizontal="left" vertical="center"/>
    </xf>
    <xf numFmtId="0" fontId="63" fillId="3" borderId="1" xfId="4" applyFont="1" applyFill="1" applyBorder="1" applyAlignment="1">
      <alignment horizontal="left" vertical="center"/>
    </xf>
    <xf numFmtId="0" fontId="63" fillId="3" borderId="4" xfId="4" applyFont="1" applyFill="1" applyBorder="1" applyAlignment="1">
      <alignment horizontal="left" vertical="center"/>
    </xf>
    <xf numFmtId="0" fontId="64" fillId="0" borderId="1" xfId="1228" applyFont="1" applyFill="1" applyBorder="1" applyAlignment="1">
      <alignment horizontal="left" vertical="center" wrapText="1"/>
    </xf>
    <xf numFmtId="0" fontId="64" fillId="0" borderId="4" xfId="1228" applyFont="1" applyFill="1" applyBorder="1" applyAlignment="1">
      <alignment horizontal="left" vertical="center" wrapText="1"/>
    </xf>
    <xf numFmtId="0" fontId="63" fillId="8" borderId="1" xfId="1228" applyFont="1" applyFill="1" applyBorder="1" applyAlignment="1">
      <alignment horizontal="left" vertical="center"/>
    </xf>
    <xf numFmtId="0" fontId="63" fillId="8" borderId="4" xfId="1228" applyFont="1" applyFill="1" applyBorder="1" applyAlignment="1">
      <alignment horizontal="left" vertical="center"/>
    </xf>
    <xf numFmtId="2" fontId="65" fillId="0" borderId="4" xfId="4" applyNumberFormat="1" applyFont="1" applyBorder="1" applyAlignment="1">
      <alignment horizontal="left" vertical="center"/>
    </xf>
    <xf numFmtId="0" fontId="65" fillId="0" borderId="4" xfId="4" applyFont="1" applyBorder="1" applyAlignment="1">
      <alignment horizontal="left" vertical="center"/>
    </xf>
    <xf numFmtId="2" fontId="63" fillId="6" borderId="15" xfId="4" applyNumberFormat="1" applyFont="1" applyFill="1" applyBorder="1" applyAlignment="1">
      <alignment horizontal="left" vertical="center"/>
    </xf>
    <xf numFmtId="2" fontId="63" fillId="6" borderId="16" xfId="4" applyNumberFormat="1" applyFont="1" applyFill="1" applyBorder="1" applyAlignment="1">
      <alignment horizontal="left" vertical="center"/>
    </xf>
    <xf numFmtId="2" fontId="63" fillId="4" borderId="10" xfId="4" applyNumberFormat="1" applyFont="1" applyFill="1" applyBorder="1" applyAlignment="1">
      <alignment horizontal="left" vertical="center"/>
    </xf>
    <xf numFmtId="2" fontId="63" fillId="4" borderId="6" xfId="4" applyNumberFormat="1" applyFont="1" applyFill="1" applyBorder="1" applyAlignment="1">
      <alignment horizontal="left" vertical="center"/>
    </xf>
    <xf numFmtId="2" fontId="63" fillId="4" borderId="11" xfId="4" applyNumberFormat="1" applyFont="1" applyFill="1" applyBorder="1" applyAlignment="1">
      <alignment horizontal="left" vertical="center"/>
    </xf>
    <xf numFmtId="2" fontId="63" fillId="0" borderId="1" xfId="4" applyNumberFormat="1" applyFont="1" applyBorder="1" applyAlignment="1">
      <alignment horizontal="left" vertical="center"/>
    </xf>
    <xf numFmtId="2" fontId="63" fillId="0" borderId="4" xfId="4" applyNumberFormat="1" applyFont="1" applyBorder="1" applyAlignment="1">
      <alignment horizontal="left" vertical="center"/>
    </xf>
    <xf numFmtId="2" fontId="63" fillId="0" borderId="5" xfId="4" applyNumberFormat="1" applyFont="1" applyBorder="1" applyAlignment="1">
      <alignment horizontal="left" vertical="center"/>
    </xf>
    <xf numFmtId="0" fontId="64" fillId="0" borderId="4" xfId="4" applyFont="1" applyBorder="1" applyAlignment="1">
      <alignment horizontal="left" vertical="center" wrapText="1"/>
    </xf>
    <xf numFmtId="0" fontId="64" fillId="0" borderId="4" xfId="4" applyFont="1" applyBorder="1" applyAlignment="1">
      <alignment horizontal="left" vertical="center"/>
    </xf>
    <xf numFmtId="0" fontId="64" fillId="0" borderId="4" xfId="0" applyFont="1" applyBorder="1" applyAlignment="1">
      <alignment horizontal="left" wrapText="1"/>
    </xf>
    <xf numFmtId="2" fontId="63" fillId="0" borderId="4" xfId="4" applyNumberFormat="1" applyFont="1" applyBorder="1" applyAlignment="1">
      <alignment horizontal="left" vertical="center" wrapText="1"/>
    </xf>
    <xf numFmtId="2" fontId="64" fillId="0" borderId="4" xfId="4" applyNumberFormat="1" applyFont="1" applyBorder="1" applyAlignment="1">
      <alignment horizontal="left" vertical="center"/>
    </xf>
    <xf numFmtId="2" fontId="64" fillId="0" borderId="4" xfId="4" applyNumberFormat="1" applyFont="1" applyBorder="1" applyAlignment="1">
      <alignment horizontal="left" vertical="center" wrapText="1"/>
    </xf>
    <xf numFmtId="0" fontId="64" fillId="0" borderId="4" xfId="0" applyFont="1" applyBorder="1" applyAlignment="1">
      <alignment horizontal="left"/>
    </xf>
    <xf numFmtId="0" fontId="63" fillId="0" borderId="4" xfId="4" applyFont="1" applyBorder="1" applyAlignment="1">
      <alignment horizontal="left" vertical="center" wrapText="1"/>
    </xf>
    <xf numFmtId="0" fontId="63" fillId="4" borderId="10" xfId="4" applyFont="1" applyFill="1" applyBorder="1" applyAlignment="1">
      <alignment horizontal="left" vertical="center"/>
    </xf>
    <xf numFmtId="0" fontId="63" fillId="4" borderId="6" xfId="4" applyFont="1" applyFill="1" applyBorder="1" applyAlignment="1">
      <alignment horizontal="left" vertical="center"/>
    </xf>
    <xf numFmtId="0" fontId="63" fillId="4" borderId="11" xfId="4" applyFont="1" applyFill="1" applyBorder="1" applyAlignment="1">
      <alignment horizontal="left" vertical="center"/>
    </xf>
    <xf numFmtId="4" fontId="63" fillId="0" borderId="1" xfId="4" applyNumberFormat="1" applyFont="1" applyBorder="1" applyAlignment="1">
      <alignment horizontal="left" vertical="center"/>
    </xf>
    <xf numFmtId="4" fontId="63" fillId="0" borderId="4" xfId="4" applyNumberFormat="1" applyFont="1" applyBorder="1" applyAlignment="1">
      <alignment horizontal="left" vertical="center"/>
    </xf>
    <xf numFmtId="4" fontId="63" fillId="0" borderId="5" xfId="4" applyNumberFormat="1" applyFont="1" applyBorder="1" applyAlignment="1">
      <alignment horizontal="left" vertical="center"/>
    </xf>
    <xf numFmtId="0" fontId="64" fillId="0" borderId="4" xfId="4" applyFont="1" applyBorder="1" applyAlignment="1">
      <alignment horizontal="center" vertical="center" wrapText="1"/>
    </xf>
    <xf numFmtId="0" fontId="63" fillId="0" borderId="4" xfId="4" applyFont="1" applyBorder="1" applyAlignment="1">
      <alignment horizontal="left" vertical="center"/>
    </xf>
    <xf numFmtId="166" fontId="63" fillId="4" borderId="10" xfId="4" applyNumberFormat="1" applyFont="1" applyFill="1" applyBorder="1" applyAlignment="1">
      <alignment horizontal="left" vertical="center"/>
    </xf>
    <xf numFmtId="166" fontId="63" fillId="4" borderId="6" xfId="4" applyNumberFormat="1" applyFont="1" applyFill="1" applyBorder="1" applyAlignment="1">
      <alignment horizontal="left" vertical="center"/>
    </xf>
    <xf numFmtId="166" fontId="63" fillId="4" borderId="11" xfId="4" applyNumberFormat="1" applyFont="1" applyFill="1" applyBorder="1" applyAlignment="1">
      <alignment horizontal="left" vertical="center"/>
    </xf>
    <xf numFmtId="0" fontId="63" fillId="0" borderId="1" xfId="4" applyFont="1" applyBorder="1" applyAlignment="1">
      <alignment horizontal="left" vertical="center"/>
    </xf>
    <xf numFmtId="0" fontId="63" fillId="0" borderId="5" xfId="4" applyFont="1" applyBorder="1" applyAlignment="1">
      <alignment horizontal="left" vertical="center"/>
    </xf>
    <xf numFmtId="0" fontId="76" fillId="0" borderId="4" xfId="0" applyFont="1" applyBorder="1" applyAlignment="1">
      <alignment horizontal="left"/>
    </xf>
    <xf numFmtId="0" fontId="76" fillId="0" borderId="4" xfId="0" quotePrefix="1" applyFont="1" applyBorder="1" applyAlignment="1">
      <alignment horizontal="left"/>
    </xf>
    <xf numFmtId="0" fontId="76" fillId="0" borderId="4" xfId="0" quotePrefix="1" applyFont="1" applyBorder="1" applyAlignment="1">
      <alignment horizontal="left" wrapText="1"/>
    </xf>
    <xf numFmtId="0" fontId="76" fillId="0" borderId="4" xfId="0" applyFont="1" applyBorder="1" applyAlignment="1">
      <alignment horizontal="left" wrapText="1"/>
    </xf>
    <xf numFmtId="0" fontId="76" fillId="0" borderId="4" xfId="4" applyFont="1" applyBorder="1" applyAlignment="1">
      <alignment horizontal="left" vertical="center"/>
    </xf>
    <xf numFmtId="2" fontId="37" fillId="2" borderId="0" xfId="4" applyNumberFormat="1" applyFont="1" applyFill="1" applyAlignment="1">
      <alignment horizontal="center" vertical="center"/>
    </xf>
    <xf numFmtId="0" fontId="63" fillId="3" borderId="10" xfId="4" applyFont="1" applyFill="1" applyBorder="1" applyAlignment="1">
      <alignment horizontal="center" vertical="center" wrapText="1"/>
    </xf>
    <xf numFmtId="0" fontId="63" fillId="3" borderId="1" xfId="4" applyFont="1" applyFill="1" applyBorder="1" applyAlignment="1">
      <alignment horizontal="center" vertical="center" wrapText="1"/>
    </xf>
    <xf numFmtId="0" fontId="63" fillId="3" borderId="15" xfId="4" applyFont="1" applyFill="1" applyBorder="1" applyAlignment="1">
      <alignment horizontal="center" vertical="center" wrapText="1"/>
    </xf>
    <xf numFmtId="0" fontId="63" fillId="3" borderId="6" xfId="4" applyFont="1" applyFill="1" applyBorder="1" applyAlignment="1">
      <alignment horizontal="center" vertical="center" wrapText="1"/>
    </xf>
    <xf numFmtId="0" fontId="63" fillId="3" borderId="11" xfId="4" applyFont="1" applyFill="1" applyBorder="1" applyAlignment="1">
      <alignment horizontal="center" vertical="center" wrapText="1"/>
    </xf>
    <xf numFmtId="0" fontId="63" fillId="3" borderId="4" xfId="4" applyFont="1" applyFill="1" applyBorder="1" applyAlignment="1">
      <alignment horizontal="center" vertical="center" wrapText="1"/>
    </xf>
    <xf numFmtId="0" fontId="63" fillId="3" borderId="5" xfId="4" applyFont="1" applyFill="1" applyBorder="1" applyAlignment="1">
      <alignment horizontal="center" vertical="center" wrapText="1"/>
    </xf>
    <xf numFmtId="0" fontId="63" fillId="3" borderId="16" xfId="4" applyFont="1" applyFill="1" applyBorder="1" applyAlignment="1">
      <alignment horizontal="center" vertical="center" wrapText="1"/>
    </xf>
    <xf numFmtId="0" fontId="63" fillId="3" borderId="17" xfId="4" applyFont="1" applyFill="1" applyBorder="1" applyAlignment="1">
      <alignment horizontal="center" vertical="center" wrapText="1"/>
    </xf>
    <xf numFmtId="165" fontId="63" fillId="4" borderId="10" xfId="1" applyNumberFormat="1" applyFont="1" applyFill="1" applyBorder="1" applyAlignment="1">
      <alignment horizontal="center" vertical="center"/>
    </xf>
    <xf numFmtId="165" fontId="63" fillId="4" borderId="6" xfId="1" applyNumberFormat="1" applyFont="1" applyFill="1" applyBorder="1" applyAlignment="1">
      <alignment horizontal="center" vertical="center"/>
    </xf>
    <xf numFmtId="165" fontId="63" fillId="4" borderId="11" xfId="1" applyNumberFormat="1" applyFont="1" applyFill="1" applyBorder="1" applyAlignment="1">
      <alignment horizontal="center" vertical="center"/>
    </xf>
    <xf numFmtId="165" fontId="63" fillId="9" borderId="10" xfId="1" applyNumberFormat="1" applyFont="1" applyFill="1" applyBorder="1" applyAlignment="1">
      <alignment horizontal="center" vertical="center" wrapText="1"/>
    </xf>
    <xf numFmtId="165" fontId="63" fillId="9" borderId="6" xfId="1" applyNumberFormat="1" applyFont="1" applyFill="1" applyBorder="1" applyAlignment="1">
      <alignment horizontal="center" vertical="center" wrapText="1"/>
    </xf>
    <xf numFmtId="165" fontId="63" fillId="9" borderId="11" xfId="1" applyNumberFormat="1" applyFont="1" applyFill="1" applyBorder="1" applyAlignment="1">
      <alignment horizontal="center" vertical="center" wrapText="1"/>
    </xf>
    <xf numFmtId="165" fontId="63" fillId="10" borderId="10" xfId="1" applyNumberFormat="1" applyFont="1" applyFill="1" applyBorder="1" applyAlignment="1">
      <alignment horizontal="center" vertical="center" wrapText="1"/>
    </xf>
    <xf numFmtId="165" fontId="63" fillId="10" borderId="6" xfId="1" applyNumberFormat="1" applyFont="1" applyFill="1" applyBorder="1" applyAlignment="1">
      <alignment horizontal="center" vertical="center" wrapText="1"/>
    </xf>
    <xf numFmtId="165" fontId="63" fillId="10" borderId="11" xfId="1" applyNumberFormat="1" applyFont="1" applyFill="1" applyBorder="1" applyAlignment="1">
      <alignment horizontal="center" vertical="center" wrapText="1"/>
    </xf>
    <xf numFmtId="167" fontId="63" fillId="2" borderId="10" xfId="1" applyNumberFormat="1" applyFont="1" applyFill="1" applyBorder="1" applyAlignment="1">
      <alignment horizontal="center" vertical="center"/>
    </xf>
    <xf numFmtId="167" fontId="63" fillId="2" borderId="6" xfId="1" applyNumberFormat="1" applyFont="1" applyFill="1" applyBorder="1" applyAlignment="1">
      <alignment horizontal="center" vertical="center"/>
    </xf>
    <xf numFmtId="167" fontId="63" fillId="2" borderId="11" xfId="1" applyNumberFormat="1" applyFont="1" applyFill="1" applyBorder="1" applyAlignment="1">
      <alignment horizontal="center" vertical="center"/>
    </xf>
    <xf numFmtId="168" fontId="25" fillId="2" borderId="0" xfId="0" applyNumberFormat="1" applyFont="1" applyFill="1" applyBorder="1" applyAlignment="1">
      <alignment horizontal="center" vertical="center" wrapText="1"/>
    </xf>
    <xf numFmtId="168" fontId="25" fillId="2" borderId="0" xfId="0" applyNumberFormat="1" applyFont="1" applyFill="1" applyBorder="1" applyAlignment="1">
      <alignment horizontal="center" vertical="center"/>
    </xf>
    <xf numFmtId="168" fontId="29" fillId="2" borderId="1" xfId="0" applyNumberFormat="1" applyFont="1" applyFill="1" applyBorder="1" applyAlignment="1">
      <alignment horizontal="center" vertical="center" wrapText="1"/>
    </xf>
    <xf numFmtId="168" fontId="29" fillId="2" borderId="4" xfId="0" applyNumberFormat="1" applyFont="1" applyFill="1" applyBorder="1" applyAlignment="1">
      <alignment horizontal="center" vertical="center" wrapText="1"/>
    </xf>
    <xf numFmtId="168" fontId="27" fillId="7" borderId="12" xfId="0" applyNumberFormat="1" applyFont="1" applyFill="1" applyBorder="1" applyAlignment="1">
      <alignment horizontal="left" vertical="center"/>
    </xf>
    <xf numFmtId="168" fontId="27" fillId="7" borderId="13" xfId="0" applyNumberFormat="1" applyFont="1" applyFill="1" applyBorder="1" applyAlignment="1">
      <alignment horizontal="left" vertical="center"/>
    </xf>
    <xf numFmtId="168" fontId="27" fillId="0" borderId="1" xfId="0" applyNumberFormat="1" applyFont="1" applyFill="1" applyBorder="1" applyAlignment="1">
      <alignment horizontal="left" vertical="center"/>
    </xf>
    <xf numFmtId="168" fontId="27" fillId="0" borderId="4" xfId="0" applyNumberFormat="1" applyFont="1" applyFill="1" applyBorder="1" applyAlignment="1">
      <alignment horizontal="left" vertical="center"/>
    </xf>
    <xf numFmtId="168" fontId="27" fillId="0" borderId="5" xfId="0" applyNumberFormat="1" applyFont="1" applyFill="1" applyBorder="1" applyAlignment="1">
      <alignment horizontal="left" vertical="center"/>
    </xf>
    <xf numFmtId="168" fontId="25" fillId="3" borderId="1" xfId="0" applyNumberFormat="1" applyFont="1" applyFill="1" applyBorder="1" applyAlignment="1">
      <alignment horizontal="left" vertical="center"/>
    </xf>
    <xf numFmtId="168" fontId="25" fillId="3" borderId="4" xfId="0" applyNumberFormat="1" applyFont="1" applyFill="1" applyBorder="1" applyAlignment="1">
      <alignment horizontal="left" vertical="center"/>
    </xf>
    <xf numFmtId="2" fontId="130" fillId="2" borderId="48" xfId="4" applyNumberFormat="1" applyFont="1" applyFill="1" applyBorder="1" applyAlignment="1">
      <alignment horizontal="right" vertical="center"/>
    </xf>
    <xf numFmtId="0" fontId="129" fillId="2" borderId="48" xfId="4" applyFont="1" applyFill="1" applyBorder="1" applyAlignment="1">
      <alignment horizontal="left" vertical="center"/>
    </xf>
    <xf numFmtId="0" fontId="133" fillId="8" borderId="12" xfId="1228" applyFont="1" applyFill="1" applyBorder="1" applyAlignment="1">
      <alignment horizontal="left" vertical="center"/>
    </xf>
    <xf numFmtId="0" fontId="133" fillId="8" borderId="13" xfId="1228" applyFont="1" applyFill="1" applyBorder="1" applyAlignment="1">
      <alignment horizontal="left" vertical="center"/>
    </xf>
    <xf numFmtId="165" fontId="132" fillId="3" borderId="10" xfId="1" applyNumberFormat="1" applyFont="1" applyFill="1" applyBorder="1" applyAlignment="1">
      <alignment horizontal="center" vertical="center" wrapText="1"/>
    </xf>
    <xf numFmtId="165" fontId="132" fillId="3" borderId="6" xfId="1" applyNumberFormat="1" applyFont="1" applyFill="1" applyBorder="1" applyAlignment="1">
      <alignment horizontal="center" vertical="center" wrapText="1"/>
    </xf>
    <xf numFmtId="165" fontId="132" fillId="3" borderId="11" xfId="1" applyNumberFormat="1" applyFont="1" applyFill="1" applyBorder="1" applyAlignment="1">
      <alignment horizontal="center" vertical="center" wrapText="1"/>
    </xf>
    <xf numFmtId="0" fontId="132" fillId="6" borderId="15" xfId="4" applyFont="1" applyFill="1" applyBorder="1" applyAlignment="1">
      <alignment horizontal="left" vertical="center"/>
    </xf>
    <xf numFmtId="0" fontId="132" fillId="6" borderId="16" xfId="4" applyFont="1" applyFill="1" applyBorder="1" applyAlignment="1">
      <alignment horizontal="left" vertical="center"/>
    </xf>
    <xf numFmtId="0" fontId="132" fillId="3" borderId="10" xfId="4" applyFont="1" applyFill="1" applyBorder="1" applyAlignment="1">
      <alignment horizontal="left" vertical="center"/>
    </xf>
    <xf numFmtId="0" fontId="132" fillId="3" borderId="6" xfId="4" applyFont="1" applyFill="1" applyBorder="1" applyAlignment="1">
      <alignment horizontal="left" vertical="center"/>
    </xf>
    <xf numFmtId="0" fontId="132" fillId="3" borderId="12" xfId="4" applyFont="1" applyFill="1" applyBorder="1" applyAlignment="1">
      <alignment horizontal="left" vertical="center"/>
    </xf>
    <xf numFmtId="0" fontId="132" fillId="3" borderId="13" xfId="4" applyFont="1" applyFill="1" applyBorder="1" applyAlignment="1">
      <alignment horizontal="left" vertical="center"/>
    </xf>
    <xf numFmtId="0" fontId="133" fillId="0" borderId="4" xfId="4" applyFont="1" applyBorder="1" applyAlignment="1">
      <alignment horizontal="left" vertical="center" wrapText="1"/>
    </xf>
    <xf numFmtId="2" fontId="136" fillId="0" borderId="4" xfId="4" applyNumberFormat="1" applyFont="1" applyBorder="1" applyAlignment="1">
      <alignment horizontal="left" vertical="center"/>
    </xf>
    <xf numFmtId="0" fontId="136" fillId="0" borderId="4" xfId="4" applyFont="1" applyBorder="1" applyAlignment="1">
      <alignment horizontal="left" vertical="center"/>
    </xf>
    <xf numFmtId="2" fontId="132" fillId="6" borderId="15" xfId="4" applyNumberFormat="1" applyFont="1" applyFill="1" applyBorder="1" applyAlignment="1">
      <alignment horizontal="left" vertical="center"/>
    </xf>
    <xf numFmtId="2" fontId="132" fillId="6" borderId="16" xfId="4" applyNumberFormat="1" applyFont="1" applyFill="1" applyBorder="1" applyAlignment="1">
      <alignment horizontal="left" vertical="center"/>
    </xf>
    <xf numFmtId="2" fontId="132" fillId="4" borderId="10" xfId="4" applyNumberFormat="1" applyFont="1" applyFill="1" applyBorder="1" applyAlignment="1">
      <alignment horizontal="left" vertical="center"/>
    </xf>
    <xf numFmtId="2" fontId="132" fillId="4" borderId="6" xfId="4" applyNumberFormat="1" applyFont="1" applyFill="1" applyBorder="1" applyAlignment="1">
      <alignment horizontal="left" vertical="center"/>
    </xf>
    <xf numFmtId="2" fontId="132" fillId="4" borderId="11" xfId="4" applyNumberFormat="1" applyFont="1" applyFill="1" applyBorder="1" applyAlignment="1">
      <alignment horizontal="left" vertical="center"/>
    </xf>
    <xf numFmtId="2" fontId="132" fillId="0" borderId="1" xfId="4" applyNumberFormat="1" applyFont="1" applyBorder="1" applyAlignment="1">
      <alignment horizontal="left" vertical="center"/>
    </xf>
    <xf numFmtId="2" fontId="132" fillId="0" borderId="4" xfId="4" applyNumberFormat="1" applyFont="1" applyBorder="1" applyAlignment="1">
      <alignment horizontal="left" vertical="center"/>
    </xf>
    <xf numFmtId="2" fontId="132" fillId="0" borderId="5" xfId="4" applyNumberFormat="1" applyFont="1" applyBorder="1" applyAlignment="1">
      <alignment horizontal="left" vertical="center"/>
    </xf>
    <xf numFmtId="0" fontId="133" fillId="0" borderId="4" xfId="4" applyFont="1" applyBorder="1" applyAlignment="1">
      <alignment horizontal="left" vertical="center"/>
    </xf>
    <xf numFmtId="2" fontId="133" fillId="0" borderId="4" xfId="4" applyNumberFormat="1" applyFont="1" applyBorder="1" applyAlignment="1">
      <alignment horizontal="left" vertical="center" wrapText="1"/>
    </xf>
    <xf numFmtId="2" fontId="133" fillId="0" borderId="4" xfId="4" applyNumberFormat="1" applyFont="1" applyBorder="1" applyAlignment="1">
      <alignment horizontal="left" vertical="center"/>
    </xf>
    <xf numFmtId="2" fontId="132" fillId="8" borderId="4" xfId="4" applyNumberFormat="1" applyFont="1" applyFill="1" applyBorder="1" applyAlignment="1">
      <alignment horizontal="left" vertical="center" wrapText="1"/>
    </xf>
    <xf numFmtId="2" fontId="132" fillId="8" borderId="4" xfId="4" applyNumberFormat="1" applyFont="1" applyFill="1" applyBorder="1" applyAlignment="1">
      <alignment horizontal="left" vertical="center"/>
    </xf>
    <xf numFmtId="0" fontId="133" fillId="0" borderId="47" xfId="1228" applyFont="1" applyFill="1" applyBorder="1" applyAlignment="1">
      <alignment horizontal="left" vertical="center" wrapText="1"/>
    </xf>
    <xf numFmtId="0" fontId="133" fillId="0" borderId="48" xfId="1228" applyFont="1" applyFill="1" applyBorder="1" applyAlignment="1">
      <alignment horizontal="left" vertical="center" wrapText="1"/>
    </xf>
    <xf numFmtId="0" fontId="133" fillId="0" borderId="58" xfId="1228" applyFont="1" applyFill="1" applyBorder="1" applyAlignment="1">
      <alignment horizontal="left" vertical="center" wrapText="1"/>
    </xf>
    <xf numFmtId="166" fontId="132" fillId="4" borderId="10" xfId="4" applyNumberFormat="1" applyFont="1" applyFill="1" applyBorder="1" applyAlignment="1">
      <alignment horizontal="left" vertical="center"/>
    </xf>
    <xf numFmtId="166" fontId="132" fillId="4" borderId="6" xfId="4" applyNumberFormat="1" applyFont="1" applyFill="1" applyBorder="1" applyAlignment="1">
      <alignment horizontal="left" vertical="center"/>
    </xf>
    <xf numFmtId="166" fontId="132" fillId="4" borderId="11" xfId="4" applyNumberFormat="1" applyFont="1" applyFill="1" applyBorder="1" applyAlignment="1">
      <alignment horizontal="left" vertical="center"/>
    </xf>
    <xf numFmtId="0" fontId="132" fillId="0" borderId="1" xfId="4" applyFont="1" applyBorder="1" applyAlignment="1">
      <alignment horizontal="left" vertical="center"/>
    </xf>
    <xf numFmtId="0" fontId="132" fillId="0" borderId="4" xfId="4" applyFont="1" applyBorder="1" applyAlignment="1">
      <alignment horizontal="left" vertical="center"/>
    </xf>
    <xf numFmtId="0" fontId="132" fillId="0" borderId="5" xfId="4" applyFont="1" applyBorder="1" applyAlignment="1">
      <alignment horizontal="left" vertical="center"/>
    </xf>
    <xf numFmtId="0" fontId="132" fillId="8" borderId="4" xfId="4" applyFont="1" applyFill="1" applyBorder="1" applyAlignment="1">
      <alignment horizontal="left" vertical="center"/>
    </xf>
    <xf numFmtId="0" fontId="133" fillId="8" borderId="4" xfId="4" applyFont="1" applyFill="1" applyBorder="1" applyAlignment="1">
      <alignment horizontal="left" vertical="center" wrapText="1"/>
    </xf>
    <xf numFmtId="0" fontId="133" fillId="8" borderId="4" xfId="4" applyFont="1" applyFill="1" applyBorder="1" applyAlignment="1">
      <alignment horizontal="left" vertical="center"/>
    </xf>
    <xf numFmtId="0" fontId="132" fillId="8" borderId="4" xfId="4" applyFont="1" applyFill="1" applyBorder="1" applyAlignment="1">
      <alignment horizontal="left" vertical="center" wrapText="1"/>
    </xf>
    <xf numFmtId="2" fontId="132" fillId="8" borderId="22" xfId="4" applyNumberFormat="1" applyFont="1" applyFill="1" applyBorder="1" applyAlignment="1">
      <alignment horizontal="left" vertical="center" wrapText="1"/>
    </xf>
    <xf numFmtId="2" fontId="132" fillId="8" borderId="41" xfId="4" applyNumberFormat="1" applyFont="1" applyFill="1" applyBorder="1" applyAlignment="1">
      <alignment horizontal="left" vertical="center" wrapText="1"/>
    </xf>
    <xf numFmtId="2" fontId="132" fillId="8" borderId="54" xfId="4" applyNumberFormat="1" applyFont="1" applyFill="1" applyBorder="1" applyAlignment="1">
      <alignment horizontal="left" vertical="center" wrapText="1"/>
    </xf>
    <xf numFmtId="0" fontId="133" fillId="0" borderId="22" xfId="4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135" fillId="0" borderId="4" xfId="4" applyFont="1" applyBorder="1" applyAlignment="1">
      <alignment horizontal="left" vertical="center"/>
    </xf>
    <xf numFmtId="0" fontId="132" fillId="4" borderId="10" xfId="4" applyFont="1" applyFill="1" applyBorder="1" applyAlignment="1">
      <alignment horizontal="left" vertical="center"/>
    </xf>
    <xf numFmtId="0" fontId="132" fillId="4" borderId="6" xfId="4" applyFont="1" applyFill="1" applyBorder="1" applyAlignment="1">
      <alignment horizontal="left" vertical="center"/>
    </xf>
    <xf numFmtId="0" fontId="132" fillId="4" borderId="11" xfId="4" applyFont="1" applyFill="1" applyBorder="1" applyAlignment="1">
      <alignment horizontal="left" vertical="center"/>
    </xf>
    <xf numFmtId="2" fontId="131" fillId="2" borderId="0" xfId="4" applyNumberFormat="1" applyFont="1" applyFill="1" applyAlignment="1">
      <alignment horizontal="center" vertical="center"/>
    </xf>
    <xf numFmtId="2" fontId="130" fillId="20" borderId="0" xfId="4" applyNumberFormat="1" applyFont="1" applyFill="1" applyAlignment="1">
      <alignment horizontal="center" vertical="center"/>
    </xf>
    <xf numFmtId="2" fontId="129" fillId="2" borderId="0" xfId="4" applyNumberFormat="1" applyFont="1" applyFill="1" applyAlignment="1">
      <alignment horizontal="center" vertical="center" wrapText="1"/>
    </xf>
    <xf numFmtId="2" fontId="121" fillId="2" borderId="0" xfId="4" applyNumberFormat="1" applyFont="1" applyFill="1" applyAlignment="1">
      <alignment horizontal="center" vertical="center"/>
    </xf>
    <xf numFmtId="0" fontId="132" fillId="3" borderId="10" xfId="4" applyFont="1" applyFill="1" applyBorder="1" applyAlignment="1">
      <alignment horizontal="center" vertical="center" wrapText="1"/>
    </xf>
    <xf numFmtId="0" fontId="132" fillId="3" borderId="1" xfId="4" applyFont="1" applyFill="1" applyBorder="1" applyAlignment="1">
      <alignment horizontal="center" vertical="center" wrapText="1"/>
    </xf>
    <xf numFmtId="0" fontId="132" fillId="3" borderId="15" xfId="4" applyFont="1" applyFill="1" applyBorder="1" applyAlignment="1">
      <alignment horizontal="center" vertical="center" wrapText="1"/>
    </xf>
    <xf numFmtId="0" fontId="132" fillId="3" borderId="6" xfId="4" applyFont="1" applyFill="1" applyBorder="1" applyAlignment="1">
      <alignment horizontal="center" vertical="center" wrapText="1"/>
    </xf>
    <xf numFmtId="0" fontId="132" fillId="3" borderId="11" xfId="4" applyFont="1" applyFill="1" applyBorder="1" applyAlignment="1">
      <alignment horizontal="center" vertical="center" wrapText="1"/>
    </xf>
    <xf numFmtId="0" fontId="132" fillId="3" borderId="4" xfId="4" applyFont="1" applyFill="1" applyBorder="1" applyAlignment="1">
      <alignment horizontal="center" vertical="center" wrapText="1"/>
    </xf>
    <xf numFmtId="0" fontId="132" fillId="3" borderId="5" xfId="4" applyFont="1" applyFill="1" applyBorder="1" applyAlignment="1">
      <alignment horizontal="center" vertical="center" wrapText="1"/>
    </xf>
    <xf numFmtId="0" fontId="132" fillId="3" borderId="16" xfId="4" applyFont="1" applyFill="1" applyBorder="1" applyAlignment="1">
      <alignment horizontal="center" vertical="center" wrapText="1"/>
    </xf>
    <xf numFmtId="0" fontId="132" fillId="3" borderId="17" xfId="4" applyFont="1" applyFill="1" applyBorder="1" applyAlignment="1">
      <alignment horizontal="center" vertical="center" wrapText="1"/>
    </xf>
    <xf numFmtId="0" fontId="133" fillId="8" borderId="22" xfId="4" applyFont="1" applyFill="1" applyBorder="1" applyAlignment="1">
      <alignment horizontal="left" vertical="center" wrapText="1"/>
    </xf>
    <xf numFmtId="0" fontId="133" fillId="8" borderId="41" xfId="4" applyFont="1" applyFill="1" applyBorder="1" applyAlignment="1">
      <alignment horizontal="left" vertical="center" wrapText="1"/>
    </xf>
    <xf numFmtId="0" fontId="133" fillId="8" borderId="54" xfId="4" applyFont="1" applyFill="1" applyBorder="1" applyAlignment="1">
      <alignment horizontal="left" vertical="center" wrapText="1"/>
    </xf>
    <xf numFmtId="0" fontId="134" fillId="8" borderId="41" xfId="0" applyFont="1" applyFill="1" applyBorder="1" applyAlignment="1">
      <alignment horizontal="left" vertical="center" wrapText="1"/>
    </xf>
    <xf numFmtId="0" fontId="134" fillId="8" borderId="54" xfId="0" applyFont="1" applyFill="1" applyBorder="1" applyAlignment="1">
      <alignment horizontal="left" vertical="center" wrapText="1"/>
    </xf>
    <xf numFmtId="0" fontId="134" fillId="0" borderId="41" xfId="0" applyFont="1" applyBorder="1" applyAlignment="1">
      <alignment horizontal="left" vertical="center" wrapText="1"/>
    </xf>
    <xf numFmtId="0" fontId="134" fillId="0" borderId="54" xfId="0" applyFont="1" applyBorder="1" applyAlignment="1">
      <alignment horizontal="left" vertical="center" wrapText="1"/>
    </xf>
    <xf numFmtId="0" fontId="135" fillId="0" borderId="4" xfId="0" applyFont="1" applyBorder="1" applyAlignment="1">
      <alignment horizontal="left"/>
    </xf>
    <xf numFmtId="9" fontId="137" fillId="9" borderId="4" xfId="483" applyNumberFormat="1" applyFont="1" applyFill="1" applyBorder="1" applyAlignment="1">
      <alignment horizontal="right"/>
    </xf>
    <xf numFmtId="0" fontId="133" fillId="8" borderId="22" xfId="4" applyFont="1" applyFill="1" applyBorder="1" applyAlignment="1">
      <alignment horizontal="center" vertical="center" wrapText="1"/>
    </xf>
    <xf numFmtId="0" fontId="133" fillId="8" borderId="41" xfId="4" applyFont="1" applyFill="1" applyBorder="1" applyAlignment="1">
      <alignment horizontal="center" vertical="center" wrapText="1"/>
    </xf>
    <xf numFmtId="0" fontId="133" fillId="8" borderId="54" xfId="4" applyFont="1" applyFill="1" applyBorder="1" applyAlignment="1">
      <alignment horizontal="center" vertical="center" wrapText="1"/>
    </xf>
    <xf numFmtId="0" fontId="135" fillId="0" borderId="4" xfId="0" quotePrefix="1" applyFont="1" applyBorder="1" applyAlignment="1">
      <alignment horizontal="left" wrapText="1"/>
    </xf>
    <xf numFmtId="0" fontId="135" fillId="0" borderId="4" xfId="0" applyFont="1" applyBorder="1" applyAlignment="1">
      <alignment horizontal="left" wrapText="1"/>
    </xf>
    <xf numFmtId="0" fontId="135" fillId="0" borderId="4" xfId="0" quotePrefix="1" applyFont="1" applyBorder="1" applyAlignment="1">
      <alignment horizontal="left"/>
    </xf>
    <xf numFmtId="165" fontId="132" fillId="10" borderId="0" xfId="1" applyNumberFormat="1" applyFont="1" applyFill="1" applyBorder="1" applyAlignment="1">
      <alignment horizontal="right" vertical="center" wrapText="1"/>
    </xf>
    <xf numFmtId="0" fontId="134" fillId="0" borderId="0" xfId="0" applyFont="1" applyBorder="1" applyAlignment="1">
      <alignment wrapText="1"/>
    </xf>
    <xf numFmtId="178" fontId="132" fillId="4" borderId="4" xfId="483" applyNumberFormat="1" applyFont="1" applyFill="1" applyBorder="1" applyAlignment="1">
      <alignment horizontal="right" vertical="center"/>
    </xf>
    <xf numFmtId="174" fontId="133" fillId="4" borderId="4" xfId="483" applyNumberFormat="1" applyFont="1" applyFill="1" applyBorder="1" applyAlignment="1">
      <alignment horizontal="center"/>
    </xf>
    <xf numFmtId="0" fontId="133" fillId="0" borderId="4" xfId="0" applyFont="1" applyBorder="1" applyAlignment="1">
      <alignment horizontal="left" wrapText="1"/>
    </xf>
    <xf numFmtId="4" fontId="132" fillId="0" borderId="1" xfId="4" applyNumberFormat="1" applyFont="1" applyBorder="1" applyAlignment="1">
      <alignment horizontal="left" vertical="center"/>
    </xf>
    <xf numFmtId="4" fontId="132" fillId="0" borderId="4" xfId="4" applyNumberFormat="1" applyFont="1" applyBorder="1" applyAlignment="1">
      <alignment horizontal="left" vertical="center"/>
    </xf>
    <xf numFmtId="4" fontId="132" fillId="0" borderId="5" xfId="4" applyNumberFormat="1" applyFont="1" applyBorder="1" applyAlignment="1">
      <alignment horizontal="left" vertical="center"/>
    </xf>
    <xf numFmtId="0" fontId="133" fillId="0" borderId="4" xfId="0" applyFont="1" applyBorder="1" applyAlignment="1">
      <alignment horizontal="left"/>
    </xf>
    <xf numFmtId="0" fontId="133" fillId="0" borderId="22" xfId="0" applyFont="1" applyBorder="1" applyAlignment="1">
      <alignment horizontal="left" vertical="center" wrapText="1"/>
    </xf>
    <xf numFmtId="0" fontId="133" fillId="0" borderId="41" xfId="0" applyFont="1" applyBorder="1" applyAlignment="1">
      <alignment horizontal="left" vertical="center" wrapText="1"/>
    </xf>
    <xf numFmtId="0" fontId="133" fillId="0" borderId="54" xfId="0" applyFont="1" applyBorder="1" applyAlignment="1">
      <alignment horizontal="left" vertical="center" wrapText="1"/>
    </xf>
    <xf numFmtId="0" fontId="132" fillId="8" borderId="1" xfId="1228" applyFont="1" applyFill="1" applyBorder="1" applyAlignment="1">
      <alignment horizontal="left" vertical="center"/>
    </xf>
    <xf numFmtId="0" fontId="132" fillId="8" borderId="4" xfId="1228" applyFont="1" applyFill="1" applyBorder="1" applyAlignment="1">
      <alignment horizontal="left" vertical="center"/>
    </xf>
    <xf numFmtId="0" fontId="133" fillId="0" borderId="40" xfId="1228" applyFont="1" applyFill="1" applyBorder="1" applyAlignment="1">
      <alignment horizontal="left" vertical="center" wrapText="1"/>
    </xf>
    <xf numFmtId="0" fontId="133" fillId="0" borderId="41" xfId="1228" applyFont="1" applyFill="1" applyBorder="1" applyAlignment="1">
      <alignment horizontal="left" vertical="center" wrapText="1"/>
    </xf>
    <xf numFmtId="0" fontId="133" fillId="0" borderId="54" xfId="1228" applyFont="1" applyFill="1" applyBorder="1" applyAlignment="1">
      <alignment horizontal="left" vertical="center" wrapText="1"/>
    </xf>
    <xf numFmtId="0" fontId="2" fillId="3" borderId="65" xfId="4" applyFont="1" applyFill="1" applyBorder="1" applyAlignment="1">
      <alignment horizontal="center" vertical="center" wrapText="1"/>
    </xf>
    <xf numFmtId="0" fontId="2" fillId="3" borderId="63" xfId="4" applyFont="1" applyFill="1" applyBorder="1" applyAlignment="1">
      <alignment horizontal="center" vertical="center" wrapText="1"/>
    </xf>
    <xf numFmtId="0" fontId="2" fillId="3" borderId="2" xfId="4" applyFont="1" applyFill="1" applyBorder="1" applyAlignment="1">
      <alignment horizontal="center" vertical="center" wrapText="1"/>
    </xf>
    <xf numFmtId="0" fontId="2" fillId="22" borderId="22" xfId="483" applyFont="1" applyFill="1" applyBorder="1" applyAlignment="1">
      <alignment horizontal="left" vertical="center" wrapText="1"/>
    </xf>
    <xf numFmtId="0" fontId="2" fillId="22" borderId="41" xfId="483" applyFont="1" applyFill="1" applyBorder="1" applyAlignment="1">
      <alignment horizontal="left" vertical="center" wrapText="1"/>
    </xf>
    <xf numFmtId="0" fontId="2" fillId="22" borderId="54" xfId="483" applyFont="1" applyFill="1" applyBorder="1" applyAlignment="1">
      <alignment horizontal="left" vertical="center" wrapText="1"/>
    </xf>
    <xf numFmtId="0" fontId="2" fillId="3" borderId="10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  <xf numFmtId="0" fontId="2" fillId="3" borderId="15" xfId="4" applyFont="1" applyFill="1" applyBorder="1" applyAlignment="1">
      <alignment horizontal="center" vertical="center" wrapText="1"/>
    </xf>
    <xf numFmtId="0" fontId="2" fillId="3" borderId="6" xfId="4" applyFont="1" applyFill="1" applyBorder="1" applyAlignment="1">
      <alignment horizontal="center" vertical="center" wrapText="1"/>
    </xf>
    <xf numFmtId="0" fontId="2" fillId="3" borderId="60" xfId="4" applyFont="1" applyFill="1" applyBorder="1" applyAlignment="1">
      <alignment horizontal="center" vertical="center" wrapText="1"/>
    </xf>
    <xf numFmtId="0" fontId="2" fillId="3" borderId="4" xfId="4" applyFont="1" applyFill="1" applyBorder="1" applyAlignment="1">
      <alignment horizontal="center" vertical="center" wrapText="1"/>
    </xf>
    <xf numFmtId="0" fontId="2" fillId="3" borderId="22" xfId="4" applyFont="1" applyFill="1" applyBorder="1" applyAlignment="1">
      <alignment horizontal="center" vertical="center" wrapText="1"/>
    </xf>
    <xf numFmtId="0" fontId="2" fillId="3" borderId="16" xfId="4" applyFont="1" applyFill="1" applyBorder="1" applyAlignment="1">
      <alignment horizontal="center" vertical="center" wrapText="1"/>
    </xf>
    <xf numFmtId="0" fontId="2" fillId="3" borderId="43" xfId="4" applyFont="1" applyFill="1" applyBorder="1" applyAlignment="1">
      <alignment horizontal="center" vertical="center" wrapText="1"/>
    </xf>
    <xf numFmtId="0" fontId="2" fillId="3" borderId="64" xfId="4" applyFont="1" applyFill="1" applyBorder="1" applyAlignment="1">
      <alignment horizontal="center" vertical="center" wrapText="1"/>
    </xf>
    <xf numFmtId="0" fontId="2" fillId="3" borderId="35" xfId="4" applyFont="1" applyFill="1" applyBorder="1" applyAlignment="1">
      <alignment horizontal="center" vertical="center" wrapText="1"/>
    </xf>
    <xf numFmtId="0" fontId="6" fillId="0" borderId="4" xfId="483" applyFont="1" applyBorder="1" applyAlignment="1">
      <alignment horizontal="left" vertical="center" wrapText="1"/>
    </xf>
    <xf numFmtId="49" fontId="2" fillId="22" borderId="22" xfId="483" applyNumberFormat="1" applyFont="1" applyFill="1" applyBorder="1" applyAlignment="1">
      <alignment horizontal="left" vertical="center"/>
    </xf>
    <xf numFmtId="49" fontId="2" fillId="22" borderId="41" xfId="483" applyNumberFormat="1" applyFont="1" applyFill="1" applyBorder="1" applyAlignment="1">
      <alignment horizontal="left" vertical="center"/>
    </xf>
    <xf numFmtId="49" fontId="2" fillId="22" borderId="54" xfId="483" applyNumberFormat="1" applyFont="1" applyFill="1" applyBorder="1" applyAlignment="1">
      <alignment horizontal="left" vertical="center"/>
    </xf>
    <xf numFmtId="0" fontId="6" fillId="2" borderId="22" xfId="483" applyFont="1" applyFill="1" applyBorder="1" applyAlignment="1">
      <alignment horizontal="left" vertical="center" wrapText="1"/>
    </xf>
    <xf numFmtId="0" fontId="6" fillId="2" borderId="41" xfId="483" applyFont="1" applyFill="1" applyBorder="1" applyAlignment="1">
      <alignment horizontal="left" vertical="center" wrapText="1"/>
    </xf>
    <xf numFmtId="0" fontId="6" fillId="2" borderId="54" xfId="483" applyFont="1" applyFill="1" applyBorder="1" applyAlignment="1">
      <alignment horizontal="left" vertical="center" wrapText="1"/>
    </xf>
    <xf numFmtId="0" fontId="2" fillId="22" borderId="4" xfId="483" applyFont="1" applyFill="1" applyBorder="1" applyAlignment="1">
      <alignment horizontal="left" vertical="center"/>
    </xf>
    <xf numFmtId="0" fontId="6" fillId="0" borderId="22" xfId="483" applyFont="1" applyBorder="1" applyAlignment="1">
      <alignment horizontal="left" vertical="center" wrapText="1"/>
    </xf>
    <xf numFmtId="0" fontId="6" fillId="0" borderId="41" xfId="483" applyFont="1" applyBorder="1" applyAlignment="1">
      <alignment horizontal="left" vertical="center" wrapText="1"/>
    </xf>
    <xf numFmtId="0" fontId="6" fillId="0" borderId="54" xfId="483" applyFont="1" applyBorder="1" applyAlignment="1">
      <alignment horizontal="left" vertical="center" wrapText="1"/>
    </xf>
    <xf numFmtId="168" fontId="118" fillId="23" borderId="0" xfId="0" applyNumberFormat="1" applyFont="1" applyFill="1" applyBorder="1" applyAlignment="1">
      <alignment horizontal="left" vertical="center" wrapText="1"/>
    </xf>
    <xf numFmtId="0" fontId="0" fillId="23" borderId="0" xfId="0" applyFill="1" applyAlignment="1">
      <alignment horizontal="left" vertical="center" wrapText="1"/>
    </xf>
    <xf numFmtId="168" fontId="118" fillId="0" borderId="0" xfId="0" applyNumberFormat="1" applyFont="1" applyFill="1" applyBorder="1" applyAlignment="1">
      <alignment horizontal="left" vertical="center" wrapText="1"/>
    </xf>
    <xf numFmtId="0" fontId="2" fillId="20" borderId="4" xfId="4" applyFont="1" applyFill="1" applyBorder="1" applyAlignment="1">
      <alignment horizontal="center"/>
    </xf>
    <xf numFmtId="0" fontId="2" fillId="4" borderId="22" xfId="4" applyFont="1" applyFill="1" applyBorder="1" applyAlignment="1">
      <alignment horizontal="right" vertical="center"/>
    </xf>
    <xf numFmtId="0" fontId="2" fillId="4" borderId="41" xfId="4" applyFont="1" applyFill="1" applyBorder="1" applyAlignment="1">
      <alignment horizontal="right" vertical="center"/>
    </xf>
    <xf numFmtId="0" fontId="2" fillId="4" borderId="54" xfId="4" applyFont="1" applyFill="1" applyBorder="1" applyAlignment="1">
      <alignment horizontal="right" vertical="center"/>
    </xf>
    <xf numFmtId="0" fontId="2" fillId="9" borderId="22" xfId="4" applyFont="1" applyFill="1" applyBorder="1" applyAlignment="1">
      <alignment horizontal="right"/>
    </xf>
    <xf numFmtId="0" fontId="2" fillId="9" borderId="41" xfId="4" applyFont="1" applyFill="1" applyBorder="1" applyAlignment="1">
      <alignment horizontal="right"/>
    </xf>
    <xf numFmtId="0" fontId="2" fillId="9" borderId="54" xfId="4" applyFont="1" applyFill="1" applyBorder="1" applyAlignment="1">
      <alignment horizontal="right"/>
    </xf>
    <xf numFmtId="0" fontId="6" fillId="4" borderId="22" xfId="4" applyFont="1" applyFill="1" applyBorder="1" applyAlignment="1">
      <alignment horizontal="right"/>
    </xf>
    <xf numFmtId="0" fontId="6" fillId="4" borderId="41" xfId="4" applyFont="1" applyFill="1" applyBorder="1" applyAlignment="1">
      <alignment horizontal="right"/>
    </xf>
    <xf numFmtId="0" fontId="6" fillId="4" borderId="54" xfId="4" applyFont="1" applyFill="1" applyBorder="1" applyAlignment="1">
      <alignment horizontal="right"/>
    </xf>
    <xf numFmtId="0" fontId="2" fillId="6" borderId="12" xfId="483" applyFont="1" applyFill="1" applyBorder="1" applyAlignment="1">
      <alignment horizontal="left" vertical="center"/>
    </xf>
    <xf numFmtId="0" fontId="2" fillId="6" borderId="13" xfId="483" applyFont="1" applyFill="1" applyBorder="1" applyAlignment="1">
      <alignment horizontal="left" vertical="center"/>
    </xf>
    <xf numFmtId="49" fontId="6" fillId="0" borderId="4" xfId="483" applyNumberFormat="1" applyFont="1" applyBorder="1" applyAlignment="1">
      <alignment horizontal="left" vertical="center"/>
    </xf>
    <xf numFmtId="49" fontId="2" fillId="22" borderId="4" xfId="483" applyNumberFormat="1" applyFont="1" applyFill="1" applyBorder="1" applyAlignment="1">
      <alignment horizontal="left" vertical="center"/>
    </xf>
    <xf numFmtId="49" fontId="6" fillId="0" borderId="4" xfId="483" applyNumberFormat="1" applyFont="1" applyBorder="1" applyAlignment="1">
      <alignment horizontal="left" vertical="center" wrapText="1"/>
    </xf>
    <xf numFmtId="49" fontId="6" fillId="0" borderId="22" xfId="483" applyNumberFormat="1" applyFont="1" applyBorder="1" applyAlignment="1">
      <alignment horizontal="left" vertical="center"/>
    </xf>
    <xf numFmtId="49" fontId="6" fillId="0" borderId="41" xfId="483" applyNumberFormat="1" applyFont="1" applyBorder="1" applyAlignment="1">
      <alignment horizontal="left" vertical="center"/>
    </xf>
    <xf numFmtId="49" fontId="6" fillId="0" borderId="54" xfId="483" applyNumberFormat="1" applyFont="1" applyBorder="1" applyAlignment="1">
      <alignment horizontal="left" vertical="center"/>
    </xf>
    <xf numFmtId="168" fontId="113" fillId="2" borderId="1" xfId="0" applyNumberFormat="1" applyFont="1" applyFill="1" applyBorder="1" applyAlignment="1">
      <alignment horizontal="left" vertical="center"/>
    </xf>
    <xf numFmtId="168" fontId="113" fillId="2" borderId="4" xfId="0" applyNumberFormat="1" applyFont="1" applyFill="1" applyBorder="1" applyAlignment="1">
      <alignment horizontal="left" vertical="center"/>
    </xf>
    <xf numFmtId="168" fontId="112" fillId="7" borderId="12" xfId="0" applyNumberFormat="1" applyFont="1" applyFill="1" applyBorder="1" applyAlignment="1">
      <alignment horizontal="left" vertical="center"/>
    </xf>
    <xf numFmtId="168" fontId="112" fillId="7" borderId="13" xfId="0" applyNumberFormat="1" applyFont="1" applyFill="1" applyBorder="1" applyAlignment="1">
      <alignment horizontal="left" vertical="center"/>
    </xf>
    <xf numFmtId="0" fontId="106" fillId="2" borderId="0" xfId="0" applyFont="1" applyFill="1" applyAlignment="1">
      <alignment horizontal="left" vertical="center" wrapText="1"/>
    </xf>
    <xf numFmtId="168" fontId="2" fillId="3" borderId="0" xfId="0" applyNumberFormat="1" applyFont="1" applyFill="1" applyBorder="1" applyAlignment="1">
      <alignment horizontal="center" vertical="center" wrapText="1"/>
    </xf>
    <xf numFmtId="168" fontId="111" fillId="2" borderId="10" xfId="0" applyNumberFormat="1" applyFont="1" applyFill="1" applyBorder="1" applyAlignment="1">
      <alignment horizontal="center" vertical="center" wrapText="1"/>
    </xf>
    <xf numFmtId="168" fontId="111" fillId="2" borderId="1" xfId="0" applyNumberFormat="1" applyFont="1" applyFill="1" applyBorder="1" applyAlignment="1">
      <alignment horizontal="center" vertical="center" wrapText="1"/>
    </xf>
    <xf numFmtId="168" fontId="111" fillId="2" borderId="6" xfId="0" applyNumberFormat="1" applyFont="1" applyFill="1" applyBorder="1" applyAlignment="1">
      <alignment horizontal="center" vertical="center" wrapText="1"/>
    </xf>
    <xf numFmtId="168" fontId="111" fillId="2" borderId="4" xfId="0" applyNumberFormat="1" applyFont="1" applyFill="1" applyBorder="1" applyAlignment="1">
      <alignment horizontal="center" vertical="center" wrapText="1"/>
    </xf>
    <xf numFmtId="168" fontId="112" fillId="0" borderId="27" xfId="0" applyNumberFormat="1" applyFont="1" applyFill="1" applyBorder="1" applyAlignment="1">
      <alignment horizontal="left" vertical="center"/>
    </xf>
    <xf numFmtId="168" fontId="112" fillId="0" borderId="0" xfId="0" applyNumberFormat="1" applyFont="1" applyFill="1" applyBorder="1" applyAlignment="1">
      <alignment horizontal="left" vertical="center"/>
    </xf>
    <xf numFmtId="168" fontId="112" fillId="0" borderId="24" xfId="0" applyNumberFormat="1" applyFont="1" applyFill="1" applyBorder="1" applyAlignment="1">
      <alignment horizontal="left" vertical="center"/>
    </xf>
    <xf numFmtId="168" fontId="113" fillId="3" borderId="1" xfId="0" applyNumberFormat="1" applyFont="1" applyFill="1" applyBorder="1" applyAlignment="1">
      <alignment horizontal="left" vertical="center"/>
    </xf>
    <xf numFmtId="168" fontId="113" fillId="3" borderId="4" xfId="0" applyNumberFormat="1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top"/>
    </xf>
    <xf numFmtId="0" fontId="14" fillId="2" borderId="0" xfId="0" applyFont="1" applyFill="1" applyBorder="1" applyAlignment="1">
      <alignment horizontal="center" vertical="top"/>
    </xf>
    <xf numFmtId="0" fontId="14" fillId="11" borderId="4" xfId="0" applyFont="1" applyFill="1" applyBorder="1" applyAlignment="1">
      <alignment horizontal="center" vertical="top" wrapText="1"/>
    </xf>
    <xf numFmtId="43" fontId="24" fillId="5" borderId="4" xfId="1" applyFont="1" applyFill="1" applyBorder="1" applyAlignment="1">
      <alignment horizontal="center" vertical="top" wrapText="1"/>
    </xf>
    <xf numFmtId="43" fontId="14" fillId="11" borderId="4" xfId="1" applyFont="1" applyFill="1" applyBorder="1" applyAlignment="1">
      <alignment horizontal="center" vertical="top" wrapText="1"/>
    </xf>
    <xf numFmtId="168" fontId="25" fillId="0" borderId="0" xfId="0" applyNumberFormat="1" applyFont="1" applyFill="1" applyBorder="1" applyAlignment="1">
      <alignment horizontal="left" vertical="center" wrapText="1"/>
    </xf>
    <xf numFmtId="0" fontId="14" fillId="11" borderId="16" xfId="0" applyFont="1" applyFill="1" applyBorder="1" applyAlignment="1">
      <alignment horizontal="center" vertical="top" wrapText="1"/>
    </xf>
    <xf numFmtId="43" fontId="14" fillId="11" borderId="16" xfId="1" applyFont="1" applyFill="1" applyBorder="1" applyAlignment="1">
      <alignment horizontal="center" vertical="top" wrapText="1"/>
    </xf>
    <xf numFmtId="168" fontId="68" fillId="2" borderId="0" xfId="0" applyNumberFormat="1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/>
    </xf>
    <xf numFmtId="168" fontId="25" fillId="2" borderId="0" xfId="0" applyNumberFormat="1" applyFont="1" applyFill="1" applyBorder="1" applyAlignment="1">
      <alignment horizontal="left" vertical="top" wrapText="1"/>
    </xf>
    <xf numFmtId="0" fontId="14" fillId="8" borderId="4" xfId="0" applyFont="1" applyFill="1" applyBorder="1" applyAlignment="1">
      <alignment horizontal="center" vertical="top" wrapText="1"/>
    </xf>
    <xf numFmtId="0" fontId="14" fillId="8" borderId="16" xfId="0" applyFont="1" applyFill="1" applyBorder="1" applyAlignment="1">
      <alignment horizontal="center" vertical="top" wrapText="1"/>
    </xf>
    <xf numFmtId="43" fontId="14" fillId="8" borderId="4" xfId="1" applyFont="1" applyFill="1" applyBorder="1" applyAlignment="1">
      <alignment horizontal="center" vertical="top" wrapText="1"/>
    </xf>
    <xf numFmtId="43" fontId="14" fillId="8" borderId="16" xfId="1" applyFont="1" applyFill="1" applyBorder="1" applyAlignment="1">
      <alignment horizontal="center" vertical="top" wrapText="1"/>
    </xf>
    <xf numFmtId="0" fontId="24" fillId="2" borderId="27" xfId="0" applyFont="1" applyFill="1" applyBorder="1" applyAlignment="1">
      <alignment horizontal="left" wrapText="1"/>
    </xf>
    <xf numFmtId="0" fontId="24" fillId="2" borderId="0" xfId="0" applyFont="1" applyFill="1" applyBorder="1" applyAlignment="1">
      <alignment horizontal="left" wrapText="1"/>
    </xf>
    <xf numFmtId="0" fontId="20" fillId="2" borderId="7" xfId="0" applyFont="1" applyFill="1" applyBorder="1" applyAlignment="1">
      <alignment horizontal="left" vertical="top" wrapText="1"/>
    </xf>
    <xf numFmtId="0" fontId="20" fillId="2" borderId="8" xfId="0" applyFont="1" applyFill="1" applyBorder="1" applyAlignment="1">
      <alignment horizontal="left" vertical="top" wrapText="1"/>
    </xf>
    <xf numFmtId="0" fontId="20" fillId="2" borderId="9" xfId="0" applyFont="1" applyFill="1" applyBorder="1" applyAlignment="1">
      <alignment horizontal="left" vertical="top" wrapText="1"/>
    </xf>
    <xf numFmtId="0" fontId="60" fillId="5" borderId="31" xfId="0" applyFont="1" applyFill="1" applyBorder="1" applyAlignment="1">
      <alignment horizontal="center" vertical="center" textRotation="90"/>
    </xf>
    <xf numFmtId="0" fontId="60" fillId="5" borderId="32" xfId="0" applyFont="1" applyFill="1" applyBorder="1" applyAlignment="1">
      <alignment horizontal="center" vertical="center" textRotation="90"/>
    </xf>
    <xf numFmtId="0" fontId="60" fillId="5" borderId="30" xfId="0" applyFont="1" applyFill="1" applyBorder="1" applyAlignment="1">
      <alignment horizontal="center" vertical="center" textRotation="90"/>
    </xf>
  </cellXfs>
  <cellStyles count="1237">
    <cellStyle name="Comma" xfId="1" builtinId="3"/>
    <cellStyle name="Comma [0] 2" xfId="9"/>
    <cellStyle name="Comma [0] 2 2" xfId="1092"/>
    <cellStyle name="Comma [0] 2 3" xfId="966"/>
    <cellStyle name="Comma [0] 3" xfId="10"/>
    <cellStyle name="Comma [0] 3 2" xfId="1093"/>
    <cellStyle name="Comma [0] 3 3" xfId="967"/>
    <cellStyle name="Comma [0] 4" xfId="11"/>
    <cellStyle name="Comma [0] 4 10" xfId="12"/>
    <cellStyle name="Comma [0] 4 2" xfId="13"/>
    <cellStyle name="Comma [0] 4 2 2" xfId="14"/>
    <cellStyle name="Comma [0] 4 2 2 2" xfId="15"/>
    <cellStyle name="Comma [0] 4 2 2 2 2" xfId="16"/>
    <cellStyle name="Comma [0] 4 2 2 2 2 2" xfId="17"/>
    <cellStyle name="Comma [0] 4 2 2 2 2 3" xfId="18"/>
    <cellStyle name="Comma [0] 4 2 2 2 2 4" xfId="19"/>
    <cellStyle name="Comma [0] 4 2 2 2 3" xfId="20"/>
    <cellStyle name="Comma [0] 4 2 2 2 3 2" xfId="21"/>
    <cellStyle name="Comma [0] 4 2 2 2 3 3" xfId="22"/>
    <cellStyle name="Comma [0] 4 2 2 2 4" xfId="23"/>
    <cellStyle name="Comma [0] 4 2 2 2 5" xfId="24"/>
    <cellStyle name="Comma [0] 4 2 2 3" xfId="25"/>
    <cellStyle name="Comma [0] 4 2 2 3 2" xfId="26"/>
    <cellStyle name="Comma [0] 4 2 2 3 3" xfId="27"/>
    <cellStyle name="Comma [0] 4 2 2 3 4" xfId="28"/>
    <cellStyle name="Comma [0] 4 2 2 4" xfId="29"/>
    <cellStyle name="Comma [0] 4 2 2 4 2" xfId="30"/>
    <cellStyle name="Comma [0] 4 2 2 4 3" xfId="31"/>
    <cellStyle name="Comma [0] 4 2 2 4 4" xfId="32"/>
    <cellStyle name="Comma [0] 4 2 2 5" xfId="33"/>
    <cellStyle name="Comma [0] 4 2 2 6" xfId="34"/>
    <cellStyle name="Comma [0] 4 2 2 7" xfId="35"/>
    <cellStyle name="Comma [0] 4 2 3" xfId="36"/>
    <cellStyle name="Comma [0] 4 2 3 2" xfId="37"/>
    <cellStyle name="Comma [0] 4 2 3 2 2" xfId="38"/>
    <cellStyle name="Comma [0] 4 2 3 2 3" xfId="39"/>
    <cellStyle name="Comma [0] 4 2 3 2 4" xfId="40"/>
    <cellStyle name="Comma [0] 4 2 3 3" xfId="41"/>
    <cellStyle name="Comma [0] 4 2 3 3 2" xfId="42"/>
    <cellStyle name="Comma [0] 4 2 3 3 3" xfId="43"/>
    <cellStyle name="Comma [0] 4 2 3 3 4" xfId="44"/>
    <cellStyle name="Comma [0] 4 2 3 4" xfId="45"/>
    <cellStyle name="Comma [0] 4 2 3 5" xfId="46"/>
    <cellStyle name="Comma [0] 4 2 3 6" xfId="47"/>
    <cellStyle name="Comma [0] 4 2 4" xfId="48"/>
    <cellStyle name="Comma [0] 4 2 4 2" xfId="49"/>
    <cellStyle name="Comma [0] 4 2 4 3" xfId="50"/>
    <cellStyle name="Comma [0] 4 2 4 4" xfId="51"/>
    <cellStyle name="Comma [0] 4 2 5" xfId="52"/>
    <cellStyle name="Comma [0] 4 2 5 2" xfId="53"/>
    <cellStyle name="Comma [0] 4 2 5 3" xfId="54"/>
    <cellStyle name="Comma [0] 4 2 5 4" xfId="55"/>
    <cellStyle name="Comma [0] 4 2 6" xfId="56"/>
    <cellStyle name="Comma [0] 4 2 7" xfId="57"/>
    <cellStyle name="Comma [0] 4 2 8" xfId="58"/>
    <cellStyle name="Comma [0] 4 3" xfId="59"/>
    <cellStyle name="Comma [0] 4 3 2" xfId="60"/>
    <cellStyle name="Comma [0] 4 3 2 2" xfId="61"/>
    <cellStyle name="Comma [0] 4 3 2 2 2" xfId="62"/>
    <cellStyle name="Comma [0] 4 3 2 2 3" xfId="63"/>
    <cellStyle name="Comma [0] 4 3 2 2 4" xfId="64"/>
    <cellStyle name="Comma [0] 4 3 2 3" xfId="65"/>
    <cellStyle name="Comma [0] 4 3 2 3 2" xfId="66"/>
    <cellStyle name="Comma [0] 4 3 2 3 3" xfId="67"/>
    <cellStyle name="Comma [0] 4 3 2 3 4" xfId="68"/>
    <cellStyle name="Comma [0] 4 3 2 4" xfId="69"/>
    <cellStyle name="Comma [0] 4 3 2 5" xfId="70"/>
    <cellStyle name="Comma [0] 4 3 2 6" xfId="71"/>
    <cellStyle name="Comma [0] 4 3 3" xfId="72"/>
    <cellStyle name="Comma [0] 4 3 3 2" xfId="73"/>
    <cellStyle name="Comma [0] 4 3 3 3" xfId="74"/>
    <cellStyle name="Comma [0] 4 3 3 4" xfId="75"/>
    <cellStyle name="Comma [0] 4 3 4" xfId="76"/>
    <cellStyle name="Comma [0] 4 3 4 2" xfId="77"/>
    <cellStyle name="Comma [0] 4 3 4 3" xfId="78"/>
    <cellStyle name="Comma [0] 4 3 4 4" xfId="79"/>
    <cellStyle name="Comma [0] 4 3 5" xfId="80"/>
    <cellStyle name="Comma [0] 4 3 6" xfId="81"/>
    <cellStyle name="Comma [0] 4 3 7" xfId="82"/>
    <cellStyle name="Comma [0] 4 4" xfId="83"/>
    <cellStyle name="Comma [0] 4 4 2" xfId="84"/>
    <cellStyle name="Comma [0] 4 4 2 2" xfId="85"/>
    <cellStyle name="Comma [0] 4 4 2 2 2" xfId="86"/>
    <cellStyle name="Comma [0] 4 4 2 2 3" xfId="87"/>
    <cellStyle name="Comma [0] 4 4 2 2 4" xfId="88"/>
    <cellStyle name="Comma [0] 4 4 2 3" xfId="89"/>
    <cellStyle name="Comma [0] 4 4 2 3 2" xfId="90"/>
    <cellStyle name="Comma [0] 4 4 2 3 3" xfId="91"/>
    <cellStyle name="Comma [0] 4 4 2 4" xfId="92"/>
    <cellStyle name="Comma [0] 4 4 2 5" xfId="93"/>
    <cellStyle name="Comma [0] 4 4 3" xfId="94"/>
    <cellStyle name="Comma [0] 4 4 3 2" xfId="95"/>
    <cellStyle name="Comma [0] 4 4 3 3" xfId="96"/>
    <cellStyle name="Comma [0] 4 4 3 4" xfId="97"/>
    <cellStyle name="Comma [0] 4 4 4" xfId="98"/>
    <cellStyle name="Comma [0] 4 4 4 2" xfId="99"/>
    <cellStyle name="Comma [0] 4 4 4 3" xfId="100"/>
    <cellStyle name="Comma [0] 4 4 4 4" xfId="101"/>
    <cellStyle name="Comma [0] 4 4 5" xfId="102"/>
    <cellStyle name="Comma [0] 4 4 6" xfId="103"/>
    <cellStyle name="Comma [0] 4 4 7" xfId="104"/>
    <cellStyle name="Comma [0] 4 5" xfId="105"/>
    <cellStyle name="Comma [0] 4 5 2" xfId="106"/>
    <cellStyle name="Comma [0] 4 5 2 2" xfId="107"/>
    <cellStyle name="Comma [0] 4 5 2 3" xfId="108"/>
    <cellStyle name="Comma [0] 4 5 2 4" xfId="109"/>
    <cellStyle name="Comma [0] 4 5 3" xfId="110"/>
    <cellStyle name="Comma [0] 4 5 3 2" xfId="111"/>
    <cellStyle name="Comma [0] 4 5 3 3" xfId="112"/>
    <cellStyle name="Comma [0] 4 5 3 4" xfId="113"/>
    <cellStyle name="Comma [0] 4 5 4" xfId="114"/>
    <cellStyle name="Comma [0] 4 5 5" xfId="115"/>
    <cellStyle name="Comma [0] 4 5 6" xfId="116"/>
    <cellStyle name="Comma [0] 4 6" xfId="117"/>
    <cellStyle name="Comma [0] 4 6 2" xfId="118"/>
    <cellStyle name="Comma [0] 4 6 3" xfId="119"/>
    <cellStyle name="Comma [0] 4 6 4" xfId="120"/>
    <cellStyle name="Comma [0] 4 7" xfId="121"/>
    <cellStyle name="Comma [0] 4 7 2" xfId="122"/>
    <cellStyle name="Comma [0] 4 7 3" xfId="123"/>
    <cellStyle name="Comma [0] 4 7 4" xfId="124"/>
    <cellStyle name="Comma [0] 4 8" xfId="125"/>
    <cellStyle name="Comma [0] 4 9" xfId="126"/>
    <cellStyle name="Comma 10" xfId="5"/>
    <cellStyle name="Comma 10 2" xfId="1094"/>
    <cellStyle name="Comma 10 3" xfId="968"/>
    <cellStyle name="Comma 100" xfId="127"/>
    <cellStyle name="Comma 100 2" xfId="1095"/>
    <cellStyle name="Comma 100 3" xfId="969"/>
    <cellStyle name="Comma 101" xfId="128"/>
    <cellStyle name="Comma 101 2" xfId="1096"/>
    <cellStyle name="Comma 101 3" xfId="970"/>
    <cellStyle name="Comma 102" xfId="129"/>
    <cellStyle name="Comma 102 2" xfId="1097"/>
    <cellStyle name="Comma 102 3" xfId="971"/>
    <cellStyle name="Comma 103" xfId="130"/>
    <cellStyle name="Comma 103 2" xfId="1098"/>
    <cellStyle name="Comma 103 3" xfId="972"/>
    <cellStyle name="Comma 104" xfId="131"/>
    <cellStyle name="Comma 104 2" xfId="1099"/>
    <cellStyle name="Comma 104 3" xfId="973"/>
    <cellStyle name="Comma 105" xfId="132"/>
    <cellStyle name="Comma 105 2" xfId="1100"/>
    <cellStyle name="Comma 105 3" xfId="974"/>
    <cellStyle name="Comma 106" xfId="133"/>
    <cellStyle name="Comma 106 2" xfId="1101"/>
    <cellStyle name="Comma 106 3" xfId="975"/>
    <cellStyle name="Comma 107" xfId="134"/>
    <cellStyle name="Comma 107 2" xfId="1102"/>
    <cellStyle name="Comma 107 3" xfId="976"/>
    <cellStyle name="Comma 108" xfId="135"/>
    <cellStyle name="Comma 108 2" xfId="1103"/>
    <cellStyle name="Comma 108 3" xfId="977"/>
    <cellStyle name="Comma 109" xfId="136"/>
    <cellStyle name="Comma 109 2" xfId="1104"/>
    <cellStyle name="Comma 109 3" xfId="978"/>
    <cellStyle name="Comma 11" xfId="137"/>
    <cellStyle name="Comma 11 2" xfId="1105"/>
    <cellStyle name="Comma 11 3" xfId="979"/>
    <cellStyle name="Comma 110" xfId="138"/>
    <cellStyle name="Comma 110 2" xfId="1106"/>
    <cellStyle name="Comma 110 3" xfId="980"/>
    <cellStyle name="Comma 111" xfId="139"/>
    <cellStyle name="Comma 111 2" xfId="1107"/>
    <cellStyle name="Comma 111 3" xfId="981"/>
    <cellStyle name="Comma 112" xfId="140"/>
    <cellStyle name="Comma 112 2" xfId="1108"/>
    <cellStyle name="Comma 112 3" xfId="982"/>
    <cellStyle name="Comma 113" xfId="141"/>
    <cellStyle name="Comma 113 2" xfId="1109"/>
    <cellStyle name="Comma 113 3" xfId="983"/>
    <cellStyle name="Comma 114" xfId="142"/>
    <cellStyle name="Comma 114 2" xfId="1110"/>
    <cellStyle name="Comma 114 3" xfId="984"/>
    <cellStyle name="Comma 115" xfId="143"/>
    <cellStyle name="Comma 115 2" xfId="1111"/>
    <cellStyle name="Comma 115 3" xfId="985"/>
    <cellStyle name="Comma 116" xfId="144"/>
    <cellStyle name="Comma 116 2" xfId="1112"/>
    <cellStyle name="Comma 116 3" xfId="986"/>
    <cellStyle name="Comma 117" xfId="145"/>
    <cellStyle name="Comma 117 2" xfId="1113"/>
    <cellStyle name="Comma 117 3" xfId="987"/>
    <cellStyle name="Comma 118" xfId="146"/>
    <cellStyle name="Comma 118 2" xfId="1114"/>
    <cellStyle name="Comma 118 3" xfId="988"/>
    <cellStyle name="Comma 119" xfId="147"/>
    <cellStyle name="Comma 119 2" xfId="1115"/>
    <cellStyle name="Comma 119 3" xfId="989"/>
    <cellStyle name="Comma 12" xfId="148"/>
    <cellStyle name="Comma 12 2" xfId="1116"/>
    <cellStyle name="Comma 12 3" xfId="990"/>
    <cellStyle name="Comma 120" xfId="149"/>
    <cellStyle name="Comma 120 2" xfId="1117"/>
    <cellStyle name="Comma 120 3" xfId="991"/>
    <cellStyle name="Comma 121" xfId="150"/>
    <cellStyle name="Comma 121 2" xfId="1118"/>
    <cellStyle name="Comma 121 3" xfId="992"/>
    <cellStyle name="Comma 122" xfId="151"/>
    <cellStyle name="Comma 122 2" xfId="1119"/>
    <cellStyle name="Comma 122 3" xfId="993"/>
    <cellStyle name="Comma 123" xfId="958"/>
    <cellStyle name="Comma 124" xfId="959"/>
    <cellStyle name="Comma 125" xfId="960"/>
    <cellStyle name="Comma 126" xfId="961"/>
    <cellStyle name="Comma 127" xfId="962"/>
    <cellStyle name="Comma 128" xfId="1224"/>
    <cellStyle name="Comma 128 2" xfId="1227"/>
    <cellStyle name="Comma 13" xfId="152"/>
    <cellStyle name="Comma 13 2" xfId="1120"/>
    <cellStyle name="Comma 13 3" xfId="994"/>
    <cellStyle name="Comma 14" xfId="153"/>
    <cellStyle name="Comma 14 2" xfId="1121"/>
    <cellStyle name="Comma 14 3" xfId="995"/>
    <cellStyle name="Comma 15" xfId="154"/>
    <cellStyle name="Comma 15 2" xfId="1122"/>
    <cellStyle name="Comma 15 3" xfId="996"/>
    <cellStyle name="Comma 16" xfId="155"/>
    <cellStyle name="Comma 16 2" xfId="1123"/>
    <cellStyle name="Comma 16 3" xfId="997"/>
    <cellStyle name="Comma 17" xfId="156"/>
    <cellStyle name="Comma 17 2" xfId="1124"/>
    <cellStyle name="Comma 17 3" xfId="998"/>
    <cellStyle name="Comma 18" xfId="157"/>
    <cellStyle name="Comma 18 2" xfId="1125"/>
    <cellStyle name="Comma 18 3" xfId="999"/>
    <cellStyle name="Comma 19" xfId="158"/>
    <cellStyle name="Comma 19 2" xfId="1126"/>
    <cellStyle name="Comma 19 3" xfId="1000"/>
    <cellStyle name="Comma 2" xfId="8"/>
    <cellStyle name="Comma 2 2" xfId="1127"/>
    <cellStyle name="Comma 2 3" xfId="965"/>
    <cellStyle name="Comma 20" xfId="159"/>
    <cellStyle name="Comma 20 2" xfId="1128"/>
    <cellStyle name="Comma 20 3" xfId="1001"/>
    <cellStyle name="Comma 21" xfId="160"/>
    <cellStyle name="Comma 21 2" xfId="1129"/>
    <cellStyle name="Comma 21 3" xfId="1002"/>
    <cellStyle name="Comma 22" xfId="161"/>
    <cellStyle name="Comma 22 2" xfId="1130"/>
    <cellStyle name="Comma 22 3" xfId="1003"/>
    <cellStyle name="Comma 23" xfId="162"/>
    <cellStyle name="Comma 23 2" xfId="1131"/>
    <cellStyle name="Comma 23 3" xfId="1004"/>
    <cellStyle name="Comma 24" xfId="163"/>
    <cellStyle name="Comma 24 2" xfId="1132"/>
    <cellStyle name="Comma 24 3" xfId="1005"/>
    <cellStyle name="Comma 25" xfId="164"/>
    <cellStyle name="Comma 25 2" xfId="1133"/>
    <cellStyle name="Comma 25 3" xfId="1006"/>
    <cellStyle name="Comma 26" xfId="165"/>
    <cellStyle name="Comma 26 2" xfId="1134"/>
    <cellStyle name="Comma 26 3" xfId="1007"/>
    <cellStyle name="Comma 27" xfId="166"/>
    <cellStyle name="Comma 27 2" xfId="1135"/>
    <cellStyle name="Comma 27 3" xfId="1008"/>
    <cellStyle name="Comma 28" xfId="167"/>
    <cellStyle name="Comma 28 2" xfId="1136"/>
    <cellStyle name="Comma 28 3" xfId="1009"/>
    <cellStyle name="Comma 29" xfId="168"/>
    <cellStyle name="Comma 29 2" xfId="1137"/>
    <cellStyle name="Comma 29 3" xfId="1010"/>
    <cellStyle name="Comma 3" xfId="169"/>
    <cellStyle name="Comma 3 2" xfId="1138"/>
    <cellStyle name="Comma 3 3" xfId="1011"/>
    <cellStyle name="Comma 30" xfId="170"/>
    <cellStyle name="Comma 30 2" xfId="1139"/>
    <cellStyle name="Comma 30 3" xfId="1012"/>
    <cellStyle name="Comma 31" xfId="171"/>
    <cellStyle name="Comma 31 2" xfId="1140"/>
    <cellStyle name="Comma 31 3" xfId="1013"/>
    <cellStyle name="Comma 32" xfId="172"/>
    <cellStyle name="Comma 32 2" xfId="1141"/>
    <cellStyle name="Comma 32 3" xfId="1014"/>
    <cellStyle name="Comma 33" xfId="173"/>
    <cellStyle name="Comma 33 2" xfId="1142"/>
    <cellStyle name="Comma 33 3" xfId="1015"/>
    <cellStyle name="Comma 34" xfId="174"/>
    <cellStyle name="Comma 34 2" xfId="1143"/>
    <cellStyle name="Comma 34 3" xfId="1016"/>
    <cellStyle name="Comma 35" xfId="175"/>
    <cellStyle name="Comma 35 2" xfId="1144"/>
    <cellStyle name="Comma 35 3" xfId="1017"/>
    <cellStyle name="Comma 36" xfId="176"/>
    <cellStyle name="Comma 36 2" xfId="1145"/>
    <cellStyle name="Comma 36 3" xfId="1018"/>
    <cellStyle name="Comma 37" xfId="177"/>
    <cellStyle name="Comma 37 2" xfId="1146"/>
    <cellStyle name="Comma 37 3" xfId="1019"/>
    <cellStyle name="Comma 38" xfId="178"/>
    <cellStyle name="Comma 38 2" xfId="1147"/>
    <cellStyle name="Comma 38 3" xfId="1020"/>
    <cellStyle name="Comma 39" xfId="179"/>
    <cellStyle name="Comma 39 2" xfId="1148"/>
    <cellStyle name="Comma 39 3" xfId="1021"/>
    <cellStyle name="Comma 4" xfId="180"/>
    <cellStyle name="Comma 4 2" xfId="1149"/>
    <cellStyle name="Comma 4 3" xfId="1022"/>
    <cellStyle name="Comma 40" xfId="181"/>
    <cellStyle name="Comma 40 2" xfId="1150"/>
    <cellStyle name="Comma 40 3" xfId="1023"/>
    <cellStyle name="Comma 41" xfId="182"/>
    <cellStyle name="Comma 41 2" xfId="1151"/>
    <cellStyle name="Comma 41 3" xfId="1024"/>
    <cellStyle name="Comma 42" xfId="183"/>
    <cellStyle name="Comma 42 2" xfId="1152"/>
    <cellStyle name="Comma 42 3" xfId="1025"/>
    <cellStyle name="Comma 43" xfId="184"/>
    <cellStyle name="Comma 43 2" xfId="1153"/>
    <cellStyle name="Comma 43 3" xfId="1026"/>
    <cellStyle name="Comma 44" xfId="185"/>
    <cellStyle name="Comma 44 2" xfId="1154"/>
    <cellStyle name="Comma 44 3" xfId="1027"/>
    <cellStyle name="Comma 45" xfId="186"/>
    <cellStyle name="Comma 45 2" xfId="1155"/>
    <cellStyle name="Comma 45 3" xfId="1028"/>
    <cellStyle name="Comma 46" xfId="187"/>
    <cellStyle name="Comma 46 2" xfId="1156"/>
    <cellStyle name="Comma 46 3" xfId="1029"/>
    <cellStyle name="Comma 47" xfId="188"/>
    <cellStyle name="Comma 47 2" xfId="1157"/>
    <cellStyle name="Comma 47 3" xfId="1030"/>
    <cellStyle name="Comma 48" xfId="189"/>
    <cellStyle name="Comma 48 2" xfId="1158"/>
    <cellStyle name="Comma 48 3" xfId="1031"/>
    <cellStyle name="Comma 49" xfId="190"/>
    <cellStyle name="Comma 49 2" xfId="1159"/>
    <cellStyle name="Comma 49 3" xfId="1032"/>
    <cellStyle name="Comma 5" xfId="191"/>
    <cellStyle name="Comma 5 2" xfId="1160"/>
    <cellStyle name="Comma 5 3" xfId="1033"/>
    <cellStyle name="Comma 50" xfId="192"/>
    <cellStyle name="Comma 50 2" xfId="1161"/>
    <cellStyle name="Comma 50 3" xfId="1034"/>
    <cellStyle name="Comma 51" xfId="193"/>
    <cellStyle name="Comma 51 2" xfId="1162"/>
    <cellStyle name="Comma 51 3" xfId="1035"/>
    <cellStyle name="Comma 52" xfId="194"/>
    <cellStyle name="Comma 52 2" xfId="1163"/>
    <cellStyle name="Comma 52 3" xfId="1036"/>
    <cellStyle name="Comma 53" xfId="195"/>
    <cellStyle name="Comma 53 2" xfId="1164"/>
    <cellStyle name="Comma 53 3" xfId="1037"/>
    <cellStyle name="Comma 54" xfId="196"/>
    <cellStyle name="Comma 54 2" xfId="1165"/>
    <cellStyle name="Comma 54 3" xfId="1038"/>
    <cellStyle name="Comma 55" xfId="197"/>
    <cellStyle name="Comma 55 2" xfId="1166"/>
    <cellStyle name="Comma 55 3" xfId="1039"/>
    <cellStyle name="Comma 56" xfId="198"/>
    <cellStyle name="Comma 56 2" xfId="1167"/>
    <cellStyle name="Comma 56 3" xfId="1040"/>
    <cellStyle name="Comma 57" xfId="199"/>
    <cellStyle name="Comma 57 2" xfId="1168"/>
    <cellStyle name="Comma 57 3" xfId="1041"/>
    <cellStyle name="Comma 58" xfId="200"/>
    <cellStyle name="Comma 58 2" xfId="1169"/>
    <cellStyle name="Comma 58 3" xfId="1042"/>
    <cellStyle name="Comma 59" xfId="201"/>
    <cellStyle name="Comma 59 2" xfId="1170"/>
    <cellStyle name="Comma 59 3" xfId="1043"/>
    <cellStyle name="Comma 6" xfId="202"/>
    <cellStyle name="Comma 6 2" xfId="1171"/>
    <cellStyle name="Comma 6 3" xfId="1044"/>
    <cellStyle name="Comma 60" xfId="203"/>
    <cellStyle name="Comma 60 2" xfId="1172"/>
    <cellStyle name="Comma 60 3" xfId="1045"/>
    <cellStyle name="Comma 61" xfId="204"/>
    <cellStyle name="Comma 61 2" xfId="1173"/>
    <cellStyle name="Comma 61 3" xfId="1046"/>
    <cellStyle name="Comma 62" xfId="205"/>
    <cellStyle name="Comma 62 2" xfId="1174"/>
    <cellStyle name="Comma 62 3" xfId="1047"/>
    <cellStyle name="Comma 63" xfId="206"/>
    <cellStyle name="Comma 63 2" xfId="1175"/>
    <cellStyle name="Comma 63 3" xfId="1048"/>
    <cellStyle name="Comma 64" xfId="207"/>
    <cellStyle name="Comma 64 2" xfId="1176"/>
    <cellStyle name="Comma 64 3" xfId="1049"/>
    <cellStyle name="Comma 65" xfId="208"/>
    <cellStyle name="Comma 65 2" xfId="1177"/>
    <cellStyle name="Comma 65 3" xfId="1050"/>
    <cellStyle name="Comma 66" xfId="209"/>
    <cellStyle name="Comma 66 2" xfId="1178"/>
    <cellStyle name="Comma 66 3" xfId="1051"/>
    <cellStyle name="Comma 67" xfId="210"/>
    <cellStyle name="Comma 67 2" xfId="1179"/>
    <cellStyle name="Comma 67 3" xfId="1052"/>
    <cellStyle name="Comma 68" xfId="211"/>
    <cellStyle name="Comma 68 2" xfId="1180"/>
    <cellStyle name="Comma 68 3" xfId="1053"/>
    <cellStyle name="Comma 69" xfId="212"/>
    <cellStyle name="Comma 69 2" xfId="1181"/>
    <cellStyle name="Comma 69 3" xfId="1054"/>
    <cellStyle name="Comma 7" xfId="213"/>
    <cellStyle name="Comma 7 2" xfId="1182"/>
    <cellStyle name="Comma 7 3" xfId="1055"/>
    <cellStyle name="Comma 70" xfId="214"/>
    <cellStyle name="Comma 70 2" xfId="1183"/>
    <cellStyle name="Comma 70 3" xfId="1056"/>
    <cellStyle name="Comma 71" xfId="215"/>
    <cellStyle name="Comma 71 2" xfId="1184"/>
    <cellStyle name="Comma 71 3" xfId="1057"/>
    <cellStyle name="Comma 72" xfId="216"/>
    <cellStyle name="Comma 72 2" xfId="1185"/>
    <cellStyle name="Comma 72 3" xfId="1058"/>
    <cellStyle name="Comma 73" xfId="217"/>
    <cellStyle name="Comma 73 10" xfId="218"/>
    <cellStyle name="Comma 73 2" xfId="219"/>
    <cellStyle name="Comma 73 2 2" xfId="220"/>
    <cellStyle name="Comma 73 2 2 2" xfId="221"/>
    <cellStyle name="Comma 73 2 2 2 2" xfId="222"/>
    <cellStyle name="Comma 73 2 2 2 2 2" xfId="223"/>
    <cellStyle name="Comma 73 2 2 2 2 3" xfId="224"/>
    <cellStyle name="Comma 73 2 2 2 2 4" xfId="225"/>
    <cellStyle name="Comma 73 2 2 2 3" xfId="226"/>
    <cellStyle name="Comma 73 2 2 2 3 2" xfId="227"/>
    <cellStyle name="Comma 73 2 2 2 3 3" xfId="228"/>
    <cellStyle name="Comma 73 2 2 2 4" xfId="229"/>
    <cellStyle name="Comma 73 2 2 2 5" xfId="230"/>
    <cellStyle name="Comma 73 2 2 3" xfId="231"/>
    <cellStyle name="Comma 73 2 2 3 2" xfId="232"/>
    <cellStyle name="Comma 73 2 2 3 3" xfId="233"/>
    <cellStyle name="Comma 73 2 2 3 4" xfId="234"/>
    <cellStyle name="Comma 73 2 2 4" xfId="235"/>
    <cellStyle name="Comma 73 2 2 4 2" xfId="236"/>
    <cellStyle name="Comma 73 2 2 4 3" xfId="237"/>
    <cellStyle name="Comma 73 2 2 4 4" xfId="238"/>
    <cellStyle name="Comma 73 2 2 5" xfId="239"/>
    <cellStyle name="Comma 73 2 2 6" xfId="240"/>
    <cellStyle name="Comma 73 2 2 7" xfId="241"/>
    <cellStyle name="Comma 73 2 3" xfId="242"/>
    <cellStyle name="Comma 73 2 3 2" xfId="243"/>
    <cellStyle name="Comma 73 2 3 2 2" xfId="244"/>
    <cellStyle name="Comma 73 2 3 2 3" xfId="245"/>
    <cellStyle name="Comma 73 2 3 2 4" xfId="246"/>
    <cellStyle name="Comma 73 2 3 3" xfId="247"/>
    <cellStyle name="Comma 73 2 3 3 2" xfId="248"/>
    <cellStyle name="Comma 73 2 3 3 3" xfId="249"/>
    <cellStyle name="Comma 73 2 3 3 4" xfId="250"/>
    <cellStyle name="Comma 73 2 3 4" xfId="251"/>
    <cellStyle name="Comma 73 2 3 5" xfId="252"/>
    <cellStyle name="Comma 73 2 3 6" xfId="253"/>
    <cellStyle name="Comma 73 2 4" xfId="254"/>
    <cellStyle name="Comma 73 2 4 2" xfId="255"/>
    <cellStyle name="Comma 73 2 4 3" xfId="256"/>
    <cellStyle name="Comma 73 2 4 4" xfId="257"/>
    <cellStyle name="Comma 73 2 5" xfId="258"/>
    <cellStyle name="Comma 73 2 5 2" xfId="259"/>
    <cellStyle name="Comma 73 2 5 3" xfId="260"/>
    <cellStyle name="Comma 73 2 5 4" xfId="261"/>
    <cellStyle name="Comma 73 2 6" xfId="262"/>
    <cellStyle name="Comma 73 2 7" xfId="263"/>
    <cellStyle name="Comma 73 2 8" xfId="264"/>
    <cellStyle name="Comma 73 3" xfId="265"/>
    <cellStyle name="Comma 73 3 2" xfId="266"/>
    <cellStyle name="Comma 73 3 2 2" xfId="267"/>
    <cellStyle name="Comma 73 3 2 2 2" xfId="268"/>
    <cellStyle name="Comma 73 3 2 2 3" xfId="269"/>
    <cellStyle name="Comma 73 3 2 2 4" xfId="270"/>
    <cellStyle name="Comma 73 3 2 3" xfId="271"/>
    <cellStyle name="Comma 73 3 2 3 2" xfId="272"/>
    <cellStyle name="Comma 73 3 2 3 3" xfId="273"/>
    <cellStyle name="Comma 73 3 2 3 4" xfId="274"/>
    <cellStyle name="Comma 73 3 2 4" xfId="275"/>
    <cellStyle name="Comma 73 3 2 5" xfId="276"/>
    <cellStyle name="Comma 73 3 2 6" xfId="277"/>
    <cellStyle name="Comma 73 3 3" xfId="278"/>
    <cellStyle name="Comma 73 3 3 2" xfId="279"/>
    <cellStyle name="Comma 73 3 3 3" xfId="280"/>
    <cellStyle name="Comma 73 3 3 4" xfId="281"/>
    <cellStyle name="Comma 73 3 4" xfId="282"/>
    <cellStyle name="Comma 73 3 4 2" xfId="283"/>
    <cellStyle name="Comma 73 3 4 3" xfId="284"/>
    <cellStyle name="Comma 73 3 4 4" xfId="285"/>
    <cellStyle name="Comma 73 3 5" xfId="286"/>
    <cellStyle name="Comma 73 3 6" xfId="287"/>
    <cellStyle name="Comma 73 3 7" xfId="288"/>
    <cellStyle name="Comma 73 4" xfId="289"/>
    <cellStyle name="Comma 73 4 2" xfId="290"/>
    <cellStyle name="Comma 73 4 2 2" xfId="291"/>
    <cellStyle name="Comma 73 4 2 2 2" xfId="292"/>
    <cellStyle name="Comma 73 4 2 2 3" xfId="293"/>
    <cellStyle name="Comma 73 4 2 2 4" xfId="294"/>
    <cellStyle name="Comma 73 4 2 3" xfId="295"/>
    <cellStyle name="Comma 73 4 2 3 2" xfId="296"/>
    <cellStyle name="Comma 73 4 2 3 3" xfId="297"/>
    <cellStyle name="Comma 73 4 2 4" xfId="298"/>
    <cellStyle name="Comma 73 4 2 5" xfId="299"/>
    <cellStyle name="Comma 73 4 3" xfId="300"/>
    <cellStyle name="Comma 73 4 3 2" xfId="301"/>
    <cellStyle name="Comma 73 4 3 3" xfId="302"/>
    <cellStyle name="Comma 73 4 3 4" xfId="303"/>
    <cellStyle name="Comma 73 4 4" xfId="304"/>
    <cellStyle name="Comma 73 4 4 2" xfId="305"/>
    <cellStyle name="Comma 73 4 4 3" xfId="306"/>
    <cellStyle name="Comma 73 4 4 4" xfId="307"/>
    <cellStyle name="Comma 73 4 5" xfId="308"/>
    <cellStyle name="Comma 73 4 6" xfId="309"/>
    <cellStyle name="Comma 73 4 7" xfId="310"/>
    <cellStyle name="Comma 73 5" xfId="311"/>
    <cellStyle name="Comma 73 5 2" xfId="312"/>
    <cellStyle name="Comma 73 5 2 2" xfId="313"/>
    <cellStyle name="Comma 73 5 2 3" xfId="314"/>
    <cellStyle name="Comma 73 5 2 4" xfId="315"/>
    <cellStyle name="Comma 73 5 3" xfId="316"/>
    <cellStyle name="Comma 73 5 3 2" xfId="317"/>
    <cellStyle name="Comma 73 5 3 3" xfId="318"/>
    <cellStyle name="Comma 73 5 3 4" xfId="319"/>
    <cellStyle name="Comma 73 5 4" xfId="320"/>
    <cellStyle name="Comma 73 5 5" xfId="321"/>
    <cellStyle name="Comma 73 5 6" xfId="322"/>
    <cellStyle name="Comma 73 6" xfId="323"/>
    <cellStyle name="Comma 73 6 2" xfId="324"/>
    <cellStyle name="Comma 73 6 3" xfId="325"/>
    <cellStyle name="Comma 73 6 4" xfId="326"/>
    <cellStyle name="Comma 73 7" xfId="327"/>
    <cellStyle name="Comma 73 7 2" xfId="328"/>
    <cellStyle name="Comma 73 7 3" xfId="329"/>
    <cellStyle name="Comma 73 7 4" xfId="330"/>
    <cellStyle name="Comma 73 8" xfId="331"/>
    <cellStyle name="Comma 73 9" xfId="332"/>
    <cellStyle name="Comma 74" xfId="333"/>
    <cellStyle name="Comma 74 10" xfId="334"/>
    <cellStyle name="Comma 74 2" xfId="335"/>
    <cellStyle name="Comma 74 2 2" xfId="336"/>
    <cellStyle name="Comma 74 2 2 2" xfId="337"/>
    <cellStyle name="Comma 74 2 2 2 2" xfId="338"/>
    <cellStyle name="Comma 74 2 2 2 2 2" xfId="339"/>
    <cellStyle name="Comma 74 2 2 2 2 3" xfId="340"/>
    <cellStyle name="Comma 74 2 2 2 2 4" xfId="341"/>
    <cellStyle name="Comma 74 2 2 2 3" xfId="342"/>
    <cellStyle name="Comma 74 2 2 2 3 2" xfId="343"/>
    <cellStyle name="Comma 74 2 2 2 3 3" xfId="344"/>
    <cellStyle name="Comma 74 2 2 2 4" xfId="345"/>
    <cellStyle name="Comma 74 2 2 2 5" xfId="346"/>
    <cellStyle name="Comma 74 2 2 3" xfId="347"/>
    <cellStyle name="Comma 74 2 2 3 2" xfId="348"/>
    <cellStyle name="Comma 74 2 2 3 3" xfId="349"/>
    <cellStyle name="Comma 74 2 2 3 4" xfId="350"/>
    <cellStyle name="Comma 74 2 2 4" xfId="351"/>
    <cellStyle name="Comma 74 2 2 4 2" xfId="352"/>
    <cellStyle name="Comma 74 2 2 4 3" xfId="353"/>
    <cellStyle name="Comma 74 2 2 4 4" xfId="354"/>
    <cellStyle name="Comma 74 2 2 5" xfId="355"/>
    <cellStyle name="Comma 74 2 2 6" xfId="356"/>
    <cellStyle name="Comma 74 2 2 7" xfId="357"/>
    <cellStyle name="Comma 74 2 3" xfId="358"/>
    <cellStyle name="Comma 74 2 3 2" xfId="359"/>
    <cellStyle name="Comma 74 2 3 2 2" xfId="360"/>
    <cellStyle name="Comma 74 2 3 2 3" xfId="361"/>
    <cellStyle name="Comma 74 2 3 2 4" xfId="362"/>
    <cellStyle name="Comma 74 2 3 3" xfId="363"/>
    <cellStyle name="Comma 74 2 3 3 2" xfId="364"/>
    <cellStyle name="Comma 74 2 3 3 3" xfId="365"/>
    <cellStyle name="Comma 74 2 3 3 4" xfId="366"/>
    <cellStyle name="Comma 74 2 3 4" xfId="367"/>
    <cellStyle name="Comma 74 2 3 5" xfId="368"/>
    <cellStyle name="Comma 74 2 3 6" xfId="369"/>
    <cellStyle name="Comma 74 2 4" xfId="370"/>
    <cellStyle name="Comma 74 2 4 2" xfId="371"/>
    <cellStyle name="Comma 74 2 4 3" xfId="372"/>
    <cellStyle name="Comma 74 2 4 4" xfId="373"/>
    <cellStyle name="Comma 74 2 5" xfId="374"/>
    <cellStyle name="Comma 74 2 5 2" xfId="375"/>
    <cellStyle name="Comma 74 2 5 3" xfId="376"/>
    <cellStyle name="Comma 74 2 5 4" xfId="377"/>
    <cellStyle name="Comma 74 2 6" xfId="378"/>
    <cellStyle name="Comma 74 2 7" xfId="379"/>
    <cellStyle name="Comma 74 2 8" xfId="380"/>
    <cellStyle name="Comma 74 3" xfId="381"/>
    <cellStyle name="Comma 74 3 2" xfId="382"/>
    <cellStyle name="Comma 74 3 2 2" xfId="383"/>
    <cellStyle name="Comma 74 3 2 2 2" xfId="384"/>
    <cellStyle name="Comma 74 3 2 2 3" xfId="385"/>
    <cellStyle name="Comma 74 3 2 2 4" xfId="386"/>
    <cellStyle name="Comma 74 3 2 3" xfId="387"/>
    <cellStyle name="Comma 74 3 2 3 2" xfId="388"/>
    <cellStyle name="Comma 74 3 2 3 3" xfId="389"/>
    <cellStyle name="Comma 74 3 2 3 4" xfId="390"/>
    <cellStyle name="Comma 74 3 2 4" xfId="391"/>
    <cellStyle name="Comma 74 3 2 5" xfId="392"/>
    <cellStyle name="Comma 74 3 2 6" xfId="393"/>
    <cellStyle name="Comma 74 3 3" xfId="394"/>
    <cellStyle name="Comma 74 3 3 2" xfId="395"/>
    <cellStyle name="Comma 74 3 3 3" xfId="396"/>
    <cellStyle name="Comma 74 3 3 4" xfId="397"/>
    <cellStyle name="Comma 74 3 4" xfId="398"/>
    <cellStyle name="Comma 74 3 4 2" xfId="399"/>
    <cellStyle name="Comma 74 3 4 3" xfId="400"/>
    <cellStyle name="Comma 74 3 4 4" xfId="401"/>
    <cellStyle name="Comma 74 3 5" xfId="402"/>
    <cellStyle name="Comma 74 3 6" xfId="403"/>
    <cellStyle name="Comma 74 3 7" xfId="404"/>
    <cellStyle name="Comma 74 4" xfId="405"/>
    <cellStyle name="Comma 74 4 2" xfId="406"/>
    <cellStyle name="Comma 74 4 2 2" xfId="407"/>
    <cellStyle name="Comma 74 4 2 2 2" xfId="408"/>
    <cellStyle name="Comma 74 4 2 2 3" xfId="409"/>
    <cellStyle name="Comma 74 4 2 2 4" xfId="410"/>
    <cellStyle name="Comma 74 4 2 3" xfId="411"/>
    <cellStyle name="Comma 74 4 2 3 2" xfId="412"/>
    <cellStyle name="Comma 74 4 2 3 3" xfId="413"/>
    <cellStyle name="Comma 74 4 2 4" xfId="414"/>
    <cellStyle name="Comma 74 4 2 5" xfId="415"/>
    <cellStyle name="Comma 74 4 3" xfId="416"/>
    <cellStyle name="Comma 74 4 3 2" xfId="417"/>
    <cellStyle name="Comma 74 4 3 3" xfId="418"/>
    <cellStyle name="Comma 74 4 3 4" xfId="419"/>
    <cellStyle name="Comma 74 4 4" xfId="420"/>
    <cellStyle name="Comma 74 4 4 2" xfId="421"/>
    <cellStyle name="Comma 74 4 4 3" xfId="422"/>
    <cellStyle name="Comma 74 4 4 4" xfId="423"/>
    <cellStyle name="Comma 74 4 5" xfId="424"/>
    <cellStyle name="Comma 74 4 6" xfId="425"/>
    <cellStyle name="Comma 74 4 7" xfId="426"/>
    <cellStyle name="Comma 74 5" xfId="427"/>
    <cellStyle name="Comma 74 5 2" xfId="428"/>
    <cellStyle name="Comma 74 5 2 2" xfId="429"/>
    <cellStyle name="Comma 74 5 2 3" xfId="430"/>
    <cellStyle name="Comma 74 5 2 4" xfId="431"/>
    <cellStyle name="Comma 74 5 3" xfId="432"/>
    <cellStyle name="Comma 74 5 3 2" xfId="433"/>
    <cellStyle name="Comma 74 5 3 3" xfId="434"/>
    <cellStyle name="Comma 74 5 3 4" xfId="435"/>
    <cellStyle name="Comma 74 5 4" xfId="436"/>
    <cellStyle name="Comma 74 5 5" xfId="437"/>
    <cellStyle name="Comma 74 5 6" xfId="438"/>
    <cellStyle name="Comma 74 6" xfId="439"/>
    <cellStyle name="Comma 74 6 2" xfId="440"/>
    <cellStyle name="Comma 74 6 3" xfId="441"/>
    <cellStyle name="Comma 74 6 4" xfId="442"/>
    <cellStyle name="Comma 74 7" xfId="443"/>
    <cellStyle name="Comma 74 7 2" xfId="444"/>
    <cellStyle name="Comma 74 7 3" xfId="445"/>
    <cellStyle name="Comma 74 7 4" xfId="446"/>
    <cellStyle name="Comma 74 8" xfId="447"/>
    <cellStyle name="Comma 74 9" xfId="448"/>
    <cellStyle name="Comma 75" xfId="449"/>
    <cellStyle name="Comma 75 2" xfId="1186"/>
    <cellStyle name="Comma 75 3" xfId="1059"/>
    <cellStyle name="Comma 76" xfId="450"/>
    <cellStyle name="Comma 76 2" xfId="1187"/>
    <cellStyle name="Comma 76 3" xfId="1060"/>
    <cellStyle name="Comma 77" xfId="451"/>
    <cellStyle name="Comma 77 2" xfId="1188"/>
    <cellStyle name="Comma 77 3" xfId="1061"/>
    <cellStyle name="Comma 78" xfId="452"/>
    <cellStyle name="Comma 78 2" xfId="1189"/>
    <cellStyle name="Comma 78 3" xfId="1062"/>
    <cellStyle name="Comma 79" xfId="453"/>
    <cellStyle name="Comma 79 2" xfId="1190"/>
    <cellStyle name="Comma 79 3" xfId="1063"/>
    <cellStyle name="Comma 8" xfId="454"/>
    <cellStyle name="Comma 8 2" xfId="1191"/>
    <cellStyle name="Comma 8 3" xfId="1064"/>
    <cellStyle name="Comma 80" xfId="455"/>
    <cellStyle name="Comma 80 2" xfId="1192"/>
    <cellStyle name="Comma 80 3" xfId="1065"/>
    <cellStyle name="Comma 81" xfId="456"/>
    <cellStyle name="Comma 81 2" xfId="1193"/>
    <cellStyle name="Comma 81 3" xfId="1066"/>
    <cellStyle name="Comma 82" xfId="457"/>
    <cellStyle name="Comma 82 2" xfId="1194"/>
    <cellStyle name="Comma 82 3" xfId="1067"/>
    <cellStyle name="Comma 83" xfId="458"/>
    <cellStyle name="Comma 83 2" xfId="1195"/>
    <cellStyle name="Comma 83 3" xfId="1068"/>
    <cellStyle name="Comma 84" xfId="459"/>
    <cellStyle name="Comma 84 2" xfId="1196"/>
    <cellStyle name="Comma 84 3" xfId="1069"/>
    <cellStyle name="Comma 85" xfId="460"/>
    <cellStyle name="Comma 85 2" xfId="1197"/>
    <cellStyle name="Comma 85 3" xfId="1070"/>
    <cellStyle name="Comma 86" xfId="461"/>
    <cellStyle name="Comma 86 2" xfId="1198"/>
    <cellStyle name="Comma 86 3" xfId="1071"/>
    <cellStyle name="Comma 87" xfId="462"/>
    <cellStyle name="Comma 87 2" xfId="1199"/>
    <cellStyle name="Comma 87 3" xfId="1072"/>
    <cellStyle name="Comma 88" xfId="463"/>
    <cellStyle name="Comma 88 2" xfId="1200"/>
    <cellStyle name="Comma 88 3" xfId="1073"/>
    <cellStyle name="Comma 89" xfId="464"/>
    <cellStyle name="Comma 89 2" xfId="1201"/>
    <cellStyle name="Comma 89 3" xfId="1074"/>
    <cellStyle name="Comma 9" xfId="465"/>
    <cellStyle name="Comma 9 2" xfId="1202"/>
    <cellStyle name="Comma 9 3" xfId="1075"/>
    <cellStyle name="Comma 90" xfId="466"/>
    <cellStyle name="Comma 90 2" xfId="1203"/>
    <cellStyle name="Comma 90 3" xfId="1076"/>
    <cellStyle name="Comma 91" xfId="467"/>
    <cellStyle name="Comma 91 2" xfId="1204"/>
    <cellStyle name="Comma 91 3" xfId="1077"/>
    <cellStyle name="Comma 92" xfId="468"/>
    <cellStyle name="Comma 92 2" xfId="1205"/>
    <cellStyle name="Comma 92 3" xfId="1078"/>
    <cellStyle name="Comma 93" xfId="469"/>
    <cellStyle name="Comma 93 2" xfId="1206"/>
    <cellStyle name="Comma 93 3" xfId="1079"/>
    <cellStyle name="Comma 94" xfId="470"/>
    <cellStyle name="Comma 94 2" xfId="1207"/>
    <cellStyle name="Comma 94 3" xfId="1080"/>
    <cellStyle name="Comma 95" xfId="471"/>
    <cellStyle name="Comma 95 2" xfId="1208"/>
    <cellStyle name="Comma 95 3" xfId="1081"/>
    <cellStyle name="Comma 96" xfId="472"/>
    <cellStyle name="Comma 96 2" xfId="1209"/>
    <cellStyle name="Comma 96 3" xfId="1082"/>
    <cellStyle name="Comma 97" xfId="473"/>
    <cellStyle name="Comma 97 2" xfId="1210"/>
    <cellStyle name="Comma 97 3" xfId="1083"/>
    <cellStyle name="Comma 98" xfId="474"/>
    <cellStyle name="Comma 98 2" xfId="1211"/>
    <cellStyle name="Comma 98 3" xfId="1084"/>
    <cellStyle name="Comma 99" xfId="475"/>
    <cellStyle name="Comma 99 2" xfId="1212"/>
    <cellStyle name="Comma 99 3" xfId="1085"/>
    <cellStyle name="Excel_BuiltIn_60% - Accent2 1" xfId="1233"/>
    <cellStyle name="Hyperlink" xfId="1232" builtinId="8"/>
    <cellStyle name="Hyperlink 2" xfId="1236"/>
    <cellStyle name="Normal" xfId="0" builtinId="0"/>
    <cellStyle name="Normal 10" xfId="1223"/>
    <cellStyle name="Normal 10 2" xfId="1226"/>
    <cellStyle name="Normal 11" xfId="4"/>
    <cellStyle name="Normal 11 2" xfId="1228"/>
    <cellStyle name="Normal 12" xfId="1225"/>
    <cellStyle name="Normal 12 2" xfId="1231"/>
    <cellStyle name="Normal 2" xfId="3"/>
    <cellStyle name="Normal 2 10" xfId="476"/>
    <cellStyle name="Normal 2 10 2" xfId="477"/>
    <cellStyle name="Normal 2 10 3" xfId="478"/>
    <cellStyle name="Normal 2 10 4" xfId="479"/>
    <cellStyle name="Normal 2 11" xfId="480"/>
    <cellStyle name="Normal 2 12" xfId="481"/>
    <cellStyle name="Normal 2 13" xfId="482"/>
    <cellStyle name="Normal 2 14" xfId="955"/>
    <cellStyle name="Normal 2 15" xfId="1229"/>
    <cellStyle name="Normal 2 16" xfId="6"/>
    <cellStyle name="Normal 2 17" xfId="1235"/>
    <cellStyle name="Normal 2 2" xfId="483"/>
    <cellStyle name="Normal 2 2 10" xfId="484"/>
    <cellStyle name="Normal 2 2 2" xfId="485"/>
    <cellStyle name="Normal 2 2 2 2" xfId="486"/>
    <cellStyle name="Normal 2 2 2 2 2" xfId="487"/>
    <cellStyle name="Normal 2 2 2 2 2 2" xfId="488"/>
    <cellStyle name="Normal 2 2 2 2 2 2 2" xfId="489"/>
    <cellStyle name="Normal 2 2 2 2 2 2 3" xfId="490"/>
    <cellStyle name="Normal 2 2 2 2 2 2 4" xfId="491"/>
    <cellStyle name="Normal 2 2 2 2 2 3" xfId="492"/>
    <cellStyle name="Normal 2 2 2 2 2 3 2" xfId="493"/>
    <cellStyle name="Normal 2 2 2 2 2 3 3" xfId="494"/>
    <cellStyle name="Normal 2 2 2 2 2 4" xfId="495"/>
    <cellStyle name="Normal 2 2 2 2 2 5" xfId="496"/>
    <cellStyle name="Normal 2 2 2 2 3" xfId="497"/>
    <cellStyle name="Normal 2 2 2 2 3 2" xfId="498"/>
    <cellStyle name="Normal 2 2 2 2 3 3" xfId="499"/>
    <cellStyle name="Normal 2 2 2 2 3 4" xfId="500"/>
    <cellStyle name="Normal 2 2 2 2 4" xfId="501"/>
    <cellStyle name="Normal 2 2 2 2 4 2" xfId="502"/>
    <cellStyle name="Normal 2 2 2 2 4 3" xfId="503"/>
    <cellStyle name="Normal 2 2 2 2 4 4" xfId="504"/>
    <cellStyle name="Normal 2 2 2 2 5" xfId="505"/>
    <cellStyle name="Normal 2 2 2 2 6" xfId="506"/>
    <cellStyle name="Normal 2 2 2 2 7" xfId="507"/>
    <cellStyle name="Normal 2 2 2 3" xfId="508"/>
    <cellStyle name="Normal 2 2 2 3 2" xfId="509"/>
    <cellStyle name="Normal 2 2 2 3 2 2" xfId="510"/>
    <cellStyle name="Normal 2 2 2 3 2 3" xfId="511"/>
    <cellStyle name="Normal 2 2 2 3 2 4" xfId="512"/>
    <cellStyle name="Normal 2 2 2 3 3" xfId="513"/>
    <cellStyle name="Normal 2 2 2 3 3 2" xfId="514"/>
    <cellStyle name="Normal 2 2 2 3 3 3" xfId="515"/>
    <cellStyle name="Normal 2 2 2 3 3 4" xfId="516"/>
    <cellStyle name="Normal 2 2 2 3 4" xfId="517"/>
    <cellStyle name="Normal 2 2 2 3 5" xfId="518"/>
    <cellStyle name="Normal 2 2 2 3 6" xfId="519"/>
    <cellStyle name="Normal 2 2 2 4" xfId="520"/>
    <cellStyle name="Normal 2 2 2 4 2" xfId="521"/>
    <cellStyle name="Normal 2 2 2 4 3" xfId="522"/>
    <cellStyle name="Normal 2 2 2 4 4" xfId="523"/>
    <cellStyle name="Normal 2 2 2 5" xfId="524"/>
    <cellStyle name="Normal 2 2 2 5 2" xfId="525"/>
    <cellStyle name="Normal 2 2 2 5 3" xfId="526"/>
    <cellStyle name="Normal 2 2 2 5 4" xfId="527"/>
    <cellStyle name="Normal 2 2 2 6" xfId="528"/>
    <cellStyle name="Normal 2 2 2 7" xfId="529"/>
    <cellStyle name="Normal 2 2 2 8" xfId="530"/>
    <cellStyle name="Normal 2 2 3" xfId="531"/>
    <cellStyle name="Normal 2 2 3 2" xfId="532"/>
    <cellStyle name="Normal 2 2 3 2 2" xfId="533"/>
    <cellStyle name="Normal 2 2 3 2 2 2" xfId="534"/>
    <cellStyle name="Normal 2 2 3 2 2 3" xfId="535"/>
    <cellStyle name="Normal 2 2 3 2 2 4" xfId="536"/>
    <cellStyle name="Normal 2 2 3 2 3" xfId="537"/>
    <cellStyle name="Normal 2 2 3 2 3 2" xfId="538"/>
    <cellStyle name="Normal 2 2 3 2 3 3" xfId="539"/>
    <cellStyle name="Normal 2 2 3 2 3 4" xfId="540"/>
    <cellStyle name="Normal 2 2 3 2 4" xfId="541"/>
    <cellStyle name="Normal 2 2 3 2 5" xfId="542"/>
    <cellStyle name="Normal 2 2 3 2 6" xfId="543"/>
    <cellStyle name="Normal 2 2 3 3" xfId="544"/>
    <cellStyle name="Normal 2 2 3 3 2" xfId="545"/>
    <cellStyle name="Normal 2 2 3 3 3" xfId="546"/>
    <cellStyle name="Normal 2 2 3 3 4" xfId="547"/>
    <cellStyle name="Normal 2 2 3 4" xfId="548"/>
    <cellStyle name="Normal 2 2 3 4 2" xfId="549"/>
    <cellStyle name="Normal 2 2 3 4 3" xfId="550"/>
    <cellStyle name="Normal 2 2 3 4 4" xfId="551"/>
    <cellStyle name="Normal 2 2 3 5" xfId="552"/>
    <cellStyle name="Normal 2 2 3 6" xfId="553"/>
    <cellStyle name="Normal 2 2 3 7" xfId="554"/>
    <cellStyle name="Normal 2 2 4" xfId="555"/>
    <cellStyle name="Normal 2 2 4 2" xfId="556"/>
    <cellStyle name="Normal 2 2 4 2 2" xfId="557"/>
    <cellStyle name="Normal 2 2 4 2 2 2" xfId="558"/>
    <cellStyle name="Normal 2 2 4 2 2 3" xfId="559"/>
    <cellStyle name="Normal 2 2 4 2 2 4" xfId="560"/>
    <cellStyle name="Normal 2 2 4 2 3" xfId="561"/>
    <cellStyle name="Normal 2 2 4 2 3 2" xfId="562"/>
    <cellStyle name="Normal 2 2 4 2 3 3" xfId="563"/>
    <cellStyle name="Normal 2 2 4 2 4" xfId="564"/>
    <cellStyle name="Normal 2 2 4 2 5" xfId="565"/>
    <cellStyle name="Normal 2 2 4 3" xfId="566"/>
    <cellStyle name="Normal 2 2 4 3 2" xfId="567"/>
    <cellStyle name="Normal 2 2 4 3 3" xfId="568"/>
    <cellStyle name="Normal 2 2 4 3 4" xfId="569"/>
    <cellStyle name="Normal 2 2 4 4" xfId="570"/>
    <cellStyle name="Normal 2 2 4 4 2" xfId="571"/>
    <cellStyle name="Normal 2 2 4 4 3" xfId="572"/>
    <cellStyle name="Normal 2 2 4 4 4" xfId="573"/>
    <cellStyle name="Normal 2 2 4 5" xfId="574"/>
    <cellStyle name="Normal 2 2 4 6" xfId="575"/>
    <cellStyle name="Normal 2 2 4 7" xfId="576"/>
    <cellStyle name="Normal 2 2 5" xfId="577"/>
    <cellStyle name="Normal 2 2 5 2" xfId="578"/>
    <cellStyle name="Normal 2 2 5 2 2" xfId="579"/>
    <cellStyle name="Normal 2 2 5 2 3" xfId="580"/>
    <cellStyle name="Normal 2 2 5 2 4" xfId="581"/>
    <cellStyle name="Normal 2 2 5 3" xfId="582"/>
    <cellStyle name="Normal 2 2 5 3 2" xfId="583"/>
    <cellStyle name="Normal 2 2 5 3 3" xfId="584"/>
    <cellStyle name="Normal 2 2 5 3 4" xfId="585"/>
    <cellStyle name="Normal 2 2 5 4" xfId="586"/>
    <cellStyle name="Normal 2 2 5 5" xfId="587"/>
    <cellStyle name="Normal 2 2 5 6" xfId="588"/>
    <cellStyle name="Normal 2 2 6" xfId="589"/>
    <cellStyle name="Normal 2 2 6 2" xfId="590"/>
    <cellStyle name="Normal 2 2 6 3" xfId="591"/>
    <cellStyle name="Normal 2 2 6 4" xfId="592"/>
    <cellStyle name="Normal 2 2 7" xfId="593"/>
    <cellStyle name="Normal 2 2 7 2" xfId="594"/>
    <cellStyle name="Normal 2 2 7 3" xfId="595"/>
    <cellStyle name="Normal 2 2 7 4" xfId="596"/>
    <cellStyle name="Normal 2 2 8" xfId="597"/>
    <cellStyle name="Normal 2 2 9" xfId="598"/>
    <cellStyle name="Normal 2 3" xfId="7"/>
    <cellStyle name="Normal 2 3 2" xfId="1213"/>
    <cellStyle name="Normal 2 3 3" xfId="964"/>
    <cellStyle name="Normal 2 4" xfId="599"/>
    <cellStyle name="Normal 2 4 2" xfId="600"/>
    <cellStyle name="Normal 2 4 2 2" xfId="1214"/>
    <cellStyle name="Normal 2 4 2 3" xfId="1087"/>
    <cellStyle name="Normal 2 4 3" xfId="1215"/>
    <cellStyle name="Normal 2 4 4" xfId="1086"/>
    <cellStyle name="Normal 2 5" xfId="601"/>
    <cellStyle name="Normal 2 5 2" xfId="602"/>
    <cellStyle name="Normal 2 5 2 2" xfId="603"/>
    <cellStyle name="Normal 2 5 2 2 2" xfId="604"/>
    <cellStyle name="Normal 2 5 2 2 2 2" xfId="605"/>
    <cellStyle name="Normal 2 5 2 2 2 3" xfId="606"/>
    <cellStyle name="Normal 2 5 2 2 2 4" xfId="607"/>
    <cellStyle name="Normal 2 5 2 2 3" xfId="608"/>
    <cellStyle name="Normal 2 5 2 2 3 2" xfId="609"/>
    <cellStyle name="Normal 2 5 2 2 3 3" xfId="610"/>
    <cellStyle name="Normal 2 5 2 2 4" xfId="611"/>
    <cellStyle name="Normal 2 5 2 2 5" xfId="612"/>
    <cellStyle name="Normal 2 5 2 3" xfId="613"/>
    <cellStyle name="Normal 2 5 2 3 2" xfId="614"/>
    <cellStyle name="Normal 2 5 2 3 3" xfId="615"/>
    <cellStyle name="Normal 2 5 2 3 4" xfId="616"/>
    <cellStyle name="Normal 2 5 2 4" xfId="617"/>
    <cellStyle name="Normal 2 5 2 4 2" xfId="618"/>
    <cellStyle name="Normal 2 5 2 4 3" xfId="619"/>
    <cellStyle name="Normal 2 5 2 4 4" xfId="620"/>
    <cellStyle name="Normal 2 5 2 5" xfId="621"/>
    <cellStyle name="Normal 2 5 2 6" xfId="622"/>
    <cellStyle name="Normal 2 5 2 7" xfId="623"/>
    <cellStyle name="Normal 2 5 3" xfId="624"/>
    <cellStyle name="Normal 2 5 3 2" xfId="625"/>
    <cellStyle name="Normal 2 5 3 2 2" xfId="626"/>
    <cellStyle name="Normal 2 5 3 2 3" xfId="627"/>
    <cellStyle name="Normal 2 5 3 2 4" xfId="628"/>
    <cellStyle name="Normal 2 5 3 3" xfId="629"/>
    <cellStyle name="Normal 2 5 3 3 2" xfId="630"/>
    <cellStyle name="Normal 2 5 3 3 3" xfId="631"/>
    <cellStyle name="Normal 2 5 3 3 4" xfId="632"/>
    <cellStyle name="Normal 2 5 3 4" xfId="633"/>
    <cellStyle name="Normal 2 5 3 5" xfId="634"/>
    <cellStyle name="Normal 2 5 3 6" xfId="635"/>
    <cellStyle name="Normal 2 5 4" xfId="636"/>
    <cellStyle name="Normal 2 5 4 2" xfId="637"/>
    <cellStyle name="Normal 2 5 4 3" xfId="638"/>
    <cellStyle name="Normal 2 5 4 4" xfId="639"/>
    <cellStyle name="Normal 2 5 5" xfId="640"/>
    <cellStyle name="Normal 2 5 5 2" xfId="641"/>
    <cellStyle name="Normal 2 5 5 3" xfId="642"/>
    <cellStyle name="Normal 2 5 5 4" xfId="643"/>
    <cellStyle name="Normal 2 5 6" xfId="644"/>
    <cellStyle name="Normal 2 5 7" xfId="645"/>
    <cellStyle name="Normal 2 5 8" xfId="646"/>
    <cellStyle name="Normal 2 6" xfId="647"/>
    <cellStyle name="Normal 2 6 2" xfId="648"/>
    <cellStyle name="Normal 2 6 2 2" xfId="649"/>
    <cellStyle name="Normal 2 6 2 2 2" xfId="650"/>
    <cellStyle name="Normal 2 6 2 2 3" xfId="651"/>
    <cellStyle name="Normal 2 6 2 2 4" xfId="652"/>
    <cellStyle name="Normal 2 6 2 3" xfId="653"/>
    <cellStyle name="Normal 2 6 2 3 2" xfId="654"/>
    <cellStyle name="Normal 2 6 2 3 3" xfId="655"/>
    <cellStyle name="Normal 2 6 2 3 4" xfId="656"/>
    <cellStyle name="Normal 2 6 2 4" xfId="657"/>
    <cellStyle name="Normal 2 6 2 5" xfId="658"/>
    <cellStyle name="Normal 2 6 2 6" xfId="659"/>
    <cellStyle name="Normal 2 6 3" xfId="660"/>
    <cellStyle name="Normal 2 6 3 2" xfId="661"/>
    <cellStyle name="Normal 2 6 3 3" xfId="662"/>
    <cellStyle name="Normal 2 6 3 4" xfId="663"/>
    <cellStyle name="Normal 2 6 4" xfId="664"/>
    <cellStyle name="Normal 2 6 4 2" xfId="665"/>
    <cellStyle name="Normal 2 6 4 3" xfId="666"/>
    <cellStyle name="Normal 2 6 4 4" xfId="667"/>
    <cellStyle name="Normal 2 6 5" xfId="668"/>
    <cellStyle name="Normal 2 6 6" xfId="669"/>
    <cellStyle name="Normal 2 6 7" xfId="670"/>
    <cellStyle name="Normal 2 7" xfId="671"/>
    <cellStyle name="Normal 2 7 2" xfId="672"/>
    <cellStyle name="Normal 2 7 2 2" xfId="673"/>
    <cellStyle name="Normal 2 7 2 2 2" xfId="674"/>
    <cellStyle name="Normal 2 7 2 2 3" xfId="675"/>
    <cellStyle name="Normal 2 7 2 2 4" xfId="676"/>
    <cellStyle name="Normal 2 7 2 3" xfId="677"/>
    <cellStyle name="Normal 2 7 2 3 2" xfId="678"/>
    <cellStyle name="Normal 2 7 2 3 3" xfId="679"/>
    <cellStyle name="Normal 2 7 2 4" xfId="680"/>
    <cellStyle name="Normal 2 7 2 5" xfId="681"/>
    <cellStyle name="Normal 2 7 3" xfId="682"/>
    <cellStyle name="Normal 2 7 3 2" xfId="683"/>
    <cellStyle name="Normal 2 7 3 3" xfId="684"/>
    <cellStyle name="Normal 2 7 3 4" xfId="685"/>
    <cellStyle name="Normal 2 7 4" xfId="686"/>
    <cellStyle name="Normal 2 7 4 2" xfId="687"/>
    <cellStyle name="Normal 2 7 4 3" xfId="688"/>
    <cellStyle name="Normal 2 7 4 4" xfId="689"/>
    <cellStyle name="Normal 2 7 5" xfId="690"/>
    <cellStyle name="Normal 2 7 6" xfId="691"/>
    <cellStyle name="Normal 2 7 7" xfId="692"/>
    <cellStyle name="Normal 2 8" xfId="693"/>
    <cellStyle name="Normal 2 8 2" xfId="694"/>
    <cellStyle name="Normal 2 8 2 2" xfId="695"/>
    <cellStyle name="Normal 2 8 2 3" xfId="696"/>
    <cellStyle name="Normal 2 8 2 4" xfId="697"/>
    <cellStyle name="Normal 2 8 3" xfId="698"/>
    <cellStyle name="Normal 2 8 3 2" xfId="699"/>
    <cellStyle name="Normal 2 8 3 3" xfId="700"/>
    <cellStyle name="Normal 2 8 3 4" xfId="701"/>
    <cellStyle name="Normal 2 8 4" xfId="702"/>
    <cellStyle name="Normal 2 8 5" xfId="703"/>
    <cellStyle name="Normal 2 8 6" xfId="704"/>
    <cellStyle name="Normal 2 9" xfId="705"/>
    <cellStyle name="Normal 2 9 2" xfId="706"/>
    <cellStyle name="Normal 2 9 3" xfId="707"/>
    <cellStyle name="Normal 2 9 4" xfId="708"/>
    <cellStyle name="Normal 26" xfId="1230"/>
    <cellStyle name="Normal 3" xfId="709"/>
    <cellStyle name="Normal 3 2" xfId="956"/>
    <cellStyle name="Normal 3 3" xfId="1088"/>
    <cellStyle name="Normal 4" xfId="710"/>
    <cellStyle name="Normal 4 10" xfId="711"/>
    <cellStyle name="Normal 4 2" xfId="712"/>
    <cellStyle name="Normal 4 2 2" xfId="713"/>
    <cellStyle name="Normal 4 2 2 2" xfId="714"/>
    <cellStyle name="Normal 4 2 2 2 2" xfId="715"/>
    <cellStyle name="Normal 4 2 2 2 2 2" xfId="716"/>
    <cellStyle name="Normal 4 2 2 2 2 3" xfId="717"/>
    <cellStyle name="Normal 4 2 2 2 2 4" xfId="718"/>
    <cellStyle name="Normal 4 2 2 2 3" xfId="719"/>
    <cellStyle name="Normal 4 2 2 2 3 2" xfId="720"/>
    <cellStyle name="Normal 4 2 2 2 3 3" xfId="721"/>
    <cellStyle name="Normal 4 2 2 2 4" xfId="722"/>
    <cellStyle name="Normal 4 2 2 2 5" xfId="723"/>
    <cellStyle name="Normal 4 2 2 3" xfId="724"/>
    <cellStyle name="Normal 4 2 2 3 2" xfId="725"/>
    <cellStyle name="Normal 4 2 2 3 3" xfId="726"/>
    <cellStyle name="Normal 4 2 2 3 4" xfId="727"/>
    <cellStyle name="Normal 4 2 2 4" xfId="728"/>
    <cellStyle name="Normal 4 2 2 4 2" xfId="729"/>
    <cellStyle name="Normal 4 2 2 4 3" xfId="730"/>
    <cellStyle name="Normal 4 2 2 4 4" xfId="731"/>
    <cellStyle name="Normal 4 2 2 5" xfId="732"/>
    <cellStyle name="Normal 4 2 2 6" xfId="733"/>
    <cellStyle name="Normal 4 2 2 7" xfId="734"/>
    <cellStyle name="Normal 4 2 3" xfId="735"/>
    <cellStyle name="Normal 4 2 3 2" xfId="736"/>
    <cellStyle name="Normal 4 2 3 2 2" xfId="737"/>
    <cellStyle name="Normal 4 2 3 2 3" xfId="738"/>
    <cellStyle name="Normal 4 2 3 2 4" xfId="739"/>
    <cellStyle name="Normal 4 2 3 3" xfId="740"/>
    <cellStyle name="Normal 4 2 3 3 2" xfId="741"/>
    <cellStyle name="Normal 4 2 3 3 3" xfId="742"/>
    <cellStyle name="Normal 4 2 3 3 4" xfId="743"/>
    <cellStyle name="Normal 4 2 3 4" xfId="744"/>
    <cellStyle name="Normal 4 2 3 5" xfId="745"/>
    <cellStyle name="Normal 4 2 3 6" xfId="746"/>
    <cellStyle name="Normal 4 2 4" xfId="747"/>
    <cellStyle name="Normal 4 2 4 2" xfId="748"/>
    <cellStyle name="Normal 4 2 4 3" xfId="749"/>
    <cellStyle name="Normal 4 2 4 4" xfId="750"/>
    <cellStyle name="Normal 4 2 5" xfId="751"/>
    <cellStyle name="Normal 4 2 5 2" xfId="752"/>
    <cellStyle name="Normal 4 2 5 3" xfId="753"/>
    <cellStyle name="Normal 4 2 5 4" xfId="754"/>
    <cellStyle name="Normal 4 2 6" xfId="755"/>
    <cellStyle name="Normal 4 2 7" xfId="756"/>
    <cellStyle name="Normal 4 2 8" xfId="757"/>
    <cellStyle name="Normal 4 3" xfId="758"/>
    <cellStyle name="Normal 4 3 2" xfId="759"/>
    <cellStyle name="Normal 4 3 2 2" xfId="760"/>
    <cellStyle name="Normal 4 3 2 2 2" xfId="761"/>
    <cellStyle name="Normal 4 3 2 2 3" xfId="762"/>
    <cellStyle name="Normal 4 3 2 2 4" xfId="763"/>
    <cellStyle name="Normal 4 3 2 3" xfId="764"/>
    <cellStyle name="Normal 4 3 2 3 2" xfId="765"/>
    <cellStyle name="Normal 4 3 2 3 3" xfId="766"/>
    <cellStyle name="Normal 4 3 2 3 4" xfId="767"/>
    <cellStyle name="Normal 4 3 2 4" xfId="768"/>
    <cellStyle name="Normal 4 3 2 5" xfId="769"/>
    <cellStyle name="Normal 4 3 2 6" xfId="770"/>
    <cellStyle name="Normal 4 3 3" xfId="771"/>
    <cellStyle name="Normal 4 3 3 2" xfId="772"/>
    <cellStyle name="Normal 4 3 3 3" xfId="773"/>
    <cellStyle name="Normal 4 3 3 4" xfId="774"/>
    <cellStyle name="Normal 4 3 4" xfId="775"/>
    <cellStyle name="Normal 4 3 4 2" xfId="776"/>
    <cellStyle name="Normal 4 3 4 3" xfId="777"/>
    <cellStyle name="Normal 4 3 4 4" xfId="778"/>
    <cellStyle name="Normal 4 3 5" xfId="779"/>
    <cellStyle name="Normal 4 3 6" xfId="780"/>
    <cellStyle name="Normal 4 3 7" xfId="781"/>
    <cellStyle name="Normal 4 4" xfId="782"/>
    <cellStyle name="Normal 4 4 2" xfId="783"/>
    <cellStyle name="Normal 4 4 2 2" xfId="784"/>
    <cellStyle name="Normal 4 4 2 2 2" xfId="785"/>
    <cellStyle name="Normal 4 4 2 2 3" xfId="786"/>
    <cellStyle name="Normal 4 4 2 2 4" xfId="787"/>
    <cellStyle name="Normal 4 4 2 3" xfId="788"/>
    <cellStyle name="Normal 4 4 2 3 2" xfId="789"/>
    <cellStyle name="Normal 4 4 2 3 3" xfId="790"/>
    <cellStyle name="Normal 4 4 2 4" xfId="791"/>
    <cellStyle name="Normal 4 4 2 5" xfId="792"/>
    <cellStyle name="Normal 4 4 3" xfId="793"/>
    <cellStyle name="Normal 4 4 3 2" xfId="794"/>
    <cellStyle name="Normal 4 4 3 3" xfId="795"/>
    <cellStyle name="Normal 4 4 3 4" xfId="796"/>
    <cellStyle name="Normal 4 4 4" xfId="797"/>
    <cellStyle name="Normal 4 4 4 2" xfId="798"/>
    <cellStyle name="Normal 4 4 4 3" xfId="799"/>
    <cellStyle name="Normal 4 4 4 4" xfId="800"/>
    <cellStyle name="Normal 4 4 5" xfId="801"/>
    <cellStyle name="Normal 4 4 6" xfId="802"/>
    <cellStyle name="Normal 4 4 7" xfId="803"/>
    <cellStyle name="Normal 4 5" xfId="804"/>
    <cellStyle name="Normal 4 5 2" xfId="805"/>
    <cellStyle name="Normal 4 5 2 2" xfId="806"/>
    <cellStyle name="Normal 4 5 2 3" xfId="807"/>
    <cellStyle name="Normal 4 5 2 4" xfId="808"/>
    <cellStyle name="Normal 4 5 3" xfId="809"/>
    <cellStyle name="Normal 4 5 3 2" xfId="810"/>
    <cellStyle name="Normal 4 5 3 3" xfId="811"/>
    <cellStyle name="Normal 4 5 3 4" xfId="812"/>
    <cellStyle name="Normal 4 5 4" xfId="813"/>
    <cellStyle name="Normal 4 5 5" xfId="814"/>
    <cellStyle name="Normal 4 5 6" xfId="815"/>
    <cellStyle name="Normal 4 6" xfId="816"/>
    <cellStyle name="Normal 4 6 2" xfId="817"/>
    <cellStyle name="Normal 4 6 3" xfId="818"/>
    <cellStyle name="Normal 4 6 4" xfId="819"/>
    <cellStyle name="Normal 4 7" xfId="820"/>
    <cellStyle name="Normal 4 7 2" xfId="821"/>
    <cellStyle name="Normal 4 7 3" xfId="822"/>
    <cellStyle name="Normal 4 7 4" xfId="823"/>
    <cellStyle name="Normal 4 8" xfId="824"/>
    <cellStyle name="Normal 4 9" xfId="825"/>
    <cellStyle name="Normal 5" xfId="826"/>
    <cellStyle name="Normal 6" xfId="827"/>
    <cellStyle name="Normal 6 2" xfId="828"/>
    <cellStyle name="Normal 6 2 2" xfId="829"/>
    <cellStyle name="Normal 6 2 3" xfId="830"/>
    <cellStyle name="Normal 6 2 4" xfId="831"/>
    <cellStyle name="Normal 6 3" xfId="832"/>
    <cellStyle name="Normal 6 4" xfId="833"/>
    <cellStyle name="Normal 6 5" xfId="834"/>
    <cellStyle name="Normal 7" xfId="835"/>
    <cellStyle name="Normal 7 2" xfId="1216"/>
    <cellStyle name="Normal 7 3" xfId="1089"/>
    <cellStyle name="Normal 8" xfId="836"/>
    <cellStyle name="Normal 9" xfId="957"/>
    <cellStyle name="Normal 9 2" xfId="963"/>
    <cellStyle name="Normal 9 3" xfId="1217"/>
    <cellStyle name="Normal 9 4" xfId="1222"/>
    <cellStyle name="Percent" xfId="2" builtinId="5"/>
    <cellStyle name="Percent 2" xfId="837"/>
    <cellStyle name="Percent 2 10" xfId="838"/>
    <cellStyle name="Percent 2 11" xfId="839"/>
    <cellStyle name="Percent 2 11 2" xfId="1218"/>
    <cellStyle name="Percent 2 11 3" xfId="1090"/>
    <cellStyle name="Percent 2 2" xfId="840"/>
    <cellStyle name="Percent 2 2 2" xfId="841"/>
    <cellStyle name="Percent 2 2 2 2" xfId="842"/>
    <cellStyle name="Percent 2 2 2 2 2" xfId="843"/>
    <cellStyle name="Percent 2 2 2 2 2 2" xfId="844"/>
    <cellStyle name="Percent 2 2 2 2 2 3" xfId="845"/>
    <cellStyle name="Percent 2 2 2 2 2 4" xfId="846"/>
    <cellStyle name="Percent 2 2 2 2 3" xfId="847"/>
    <cellStyle name="Percent 2 2 2 2 3 2" xfId="848"/>
    <cellStyle name="Percent 2 2 2 2 3 3" xfId="849"/>
    <cellStyle name="Percent 2 2 2 2 4" xfId="850"/>
    <cellStyle name="Percent 2 2 2 2 5" xfId="851"/>
    <cellStyle name="Percent 2 2 2 3" xfId="852"/>
    <cellStyle name="Percent 2 2 2 3 2" xfId="853"/>
    <cellStyle name="Percent 2 2 2 3 3" xfId="854"/>
    <cellStyle name="Percent 2 2 2 3 4" xfId="855"/>
    <cellStyle name="Percent 2 2 2 4" xfId="856"/>
    <cellStyle name="Percent 2 2 2 4 2" xfId="857"/>
    <cellStyle name="Percent 2 2 2 4 3" xfId="858"/>
    <cellStyle name="Percent 2 2 2 4 4" xfId="859"/>
    <cellStyle name="Percent 2 2 2 5" xfId="860"/>
    <cellStyle name="Percent 2 2 2 6" xfId="861"/>
    <cellStyle name="Percent 2 2 2 7" xfId="862"/>
    <cellStyle name="Percent 2 2 3" xfId="863"/>
    <cellStyle name="Percent 2 2 3 2" xfId="864"/>
    <cellStyle name="Percent 2 2 3 2 2" xfId="865"/>
    <cellStyle name="Percent 2 2 3 2 3" xfId="866"/>
    <cellStyle name="Percent 2 2 3 2 4" xfId="867"/>
    <cellStyle name="Percent 2 2 3 3" xfId="868"/>
    <cellStyle name="Percent 2 2 3 3 2" xfId="869"/>
    <cellStyle name="Percent 2 2 3 3 3" xfId="870"/>
    <cellStyle name="Percent 2 2 3 3 4" xfId="871"/>
    <cellStyle name="Percent 2 2 3 4" xfId="872"/>
    <cellStyle name="Percent 2 2 3 5" xfId="873"/>
    <cellStyle name="Percent 2 2 3 6" xfId="874"/>
    <cellStyle name="Percent 2 2 4" xfId="875"/>
    <cellStyle name="Percent 2 2 4 2" xfId="876"/>
    <cellStyle name="Percent 2 2 4 3" xfId="877"/>
    <cellStyle name="Percent 2 2 4 4" xfId="878"/>
    <cellStyle name="Percent 2 2 5" xfId="879"/>
    <cellStyle name="Percent 2 2 5 2" xfId="880"/>
    <cellStyle name="Percent 2 2 5 3" xfId="881"/>
    <cellStyle name="Percent 2 2 5 4" xfId="882"/>
    <cellStyle name="Percent 2 2 6" xfId="883"/>
    <cellStyle name="Percent 2 2 7" xfId="884"/>
    <cellStyle name="Percent 2 2 8" xfId="885"/>
    <cellStyle name="Percent 2 3" xfId="886"/>
    <cellStyle name="Percent 2 3 2" xfId="887"/>
    <cellStyle name="Percent 2 3 2 2" xfId="888"/>
    <cellStyle name="Percent 2 3 2 2 2" xfId="889"/>
    <cellStyle name="Percent 2 3 2 2 3" xfId="890"/>
    <cellStyle name="Percent 2 3 2 2 4" xfId="891"/>
    <cellStyle name="Percent 2 3 2 3" xfId="892"/>
    <cellStyle name="Percent 2 3 2 3 2" xfId="893"/>
    <cellStyle name="Percent 2 3 2 3 3" xfId="894"/>
    <cellStyle name="Percent 2 3 2 3 4" xfId="895"/>
    <cellStyle name="Percent 2 3 2 4" xfId="896"/>
    <cellStyle name="Percent 2 3 2 5" xfId="897"/>
    <cellStyle name="Percent 2 3 2 6" xfId="898"/>
    <cellStyle name="Percent 2 3 3" xfId="899"/>
    <cellStyle name="Percent 2 3 3 2" xfId="900"/>
    <cellStyle name="Percent 2 3 3 3" xfId="901"/>
    <cellStyle name="Percent 2 3 3 4" xfId="902"/>
    <cellStyle name="Percent 2 3 4" xfId="903"/>
    <cellStyle name="Percent 2 3 4 2" xfId="904"/>
    <cellStyle name="Percent 2 3 4 3" xfId="905"/>
    <cellStyle name="Percent 2 3 4 4" xfId="906"/>
    <cellStyle name="Percent 2 3 5" xfId="907"/>
    <cellStyle name="Percent 2 3 6" xfId="908"/>
    <cellStyle name="Percent 2 3 7" xfId="909"/>
    <cellStyle name="Percent 2 4" xfId="910"/>
    <cellStyle name="Percent 2 4 2" xfId="911"/>
    <cellStyle name="Percent 2 4 2 2" xfId="912"/>
    <cellStyle name="Percent 2 4 2 2 2" xfId="913"/>
    <cellStyle name="Percent 2 4 2 2 3" xfId="914"/>
    <cellStyle name="Percent 2 4 2 2 4" xfId="915"/>
    <cellStyle name="Percent 2 4 2 3" xfId="916"/>
    <cellStyle name="Percent 2 4 2 3 2" xfId="917"/>
    <cellStyle name="Percent 2 4 2 3 3" xfId="918"/>
    <cellStyle name="Percent 2 4 2 4" xfId="919"/>
    <cellStyle name="Percent 2 4 2 5" xfId="920"/>
    <cellStyle name="Percent 2 4 3" xfId="921"/>
    <cellStyle name="Percent 2 4 3 2" xfId="922"/>
    <cellStyle name="Percent 2 4 3 3" xfId="923"/>
    <cellStyle name="Percent 2 4 3 4" xfId="924"/>
    <cellStyle name="Percent 2 4 4" xfId="925"/>
    <cellStyle name="Percent 2 4 4 2" xfId="926"/>
    <cellStyle name="Percent 2 4 4 3" xfId="927"/>
    <cellStyle name="Percent 2 4 4 4" xfId="928"/>
    <cellStyle name="Percent 2 4 5" xfId="929"/>
    <cellStyle name="Percent 2 4 6" xfId="930"/>
    <cellStyle name="Percent 2 4 7" xfId="931"/>
    <cellStyle name="Percent 2 5" xfId="932"/>
    <cellStyle name="Percent 2 5 2" xfId="933"/>
    <cellStyle name="Percent 2 5 2 2" xfId="934"/>
    <cellStyle name="Percent 2 5 2 3" xfId="935"/>
    <cellStyle name="Percent 2 5 2 4" xfId="936"/>
    <cellStyle name="Percent 2 5 3" xfId="937"/>
    <cellStyle name="Percent 2 5 3 2" xfId="938"/>
    <cellStyle name="Percent 2 5 3 3" xfId="939"/>
    <cellStyle name="Percent 2 5 3 4" xfId="940"/>
    <cellStyle name="Percent 2 5 4" xfId="941"/>
    <cellStyle name="Percent 2 5 5" xfId="942"/>
    <cellStyle name="Percent 2 5 6" xfId="943"/>
    <cellStyle name="Percent 2 6" xfId="944"/>
    <cellStyle name="Percent 2 6 2" xfId="945"/>
    <cellStyle name="Percent 2 6 3" xfId="946"/>
    <cellStyle name="Percent 2 6 4" xfId="947"/>
    <cellStyle name="Percent 2 7" xfId="948"/>
    <cellStyle name="Percent 2 7 2" xfId="949"/>
    <cellStyle name="Percent 2 7 3" xfId="950"/>
    <cellStyle name="Percent 2 7 4" xfId="951"/>
    <cellStyle name="Percent 2 8" xfId="952"/>
    <cellStyle name="Percent 2 9" xfId="953"/>
    <cellStyle name="Percent 3" xfId="954"/>
    <cellStyle name="Percent 3 2" xfId="1219"/>
    <cellStyle name="Percent 3 3" xfId="1091"/>
    <cellStyle name="Percent 4" xfId="1220"/>
    <cellStyle name="Percent 4 2" xfId="1221"/>
    <cellStyle name="Обычный 2" xfId="12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416379</xdr:colOff>
      <xdr:row>1</xdr:row>
      <xdr:rowOff>189138</xdr:rowOff>
    </xdr:from>
    <xdr:to>
      <xdr:col>14</xdr:col>
      <xdr:colOff>103987</xdr:colOff>
      <xdr:row>19</xdr:row>
      <xdr:rowOff>20580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C0053750-26A3-471F-8DA3-C552CF8B7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89522" y="379638"/>
          <a:ext cx="4735858" cy="353258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-%20Lucrarii%20-/Arhitectura%20Dan%20Boroaga/Infectioase%20Tarnaveni/Modificari%20dupa%20vacanta/DALI%20%20infectioase%20Tarnaveni%20X2_Minim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GENERAL"/>
      <sheetName val="Evaluari cantitati"/>
      <sheetName val="Devize  UTILITATI si OS"/>
      <sheetName val="Devize OBIECTE"/>
      <sheetName val="ANEXA F1 functiuni"/>
      <sheetName val="ANEXA T1 Princip caracteristici"/>
      <sheetName val="Anexa G1 Grafic"/>
      <sheetName val="Sheet1"/>
      <sheetName val="calculator rezistenta termica"/>
    </sheetNames>
    <sheetDataSet>
      <sheetData sheetId="0">
        <row r="6">
          <cell r="H6">
            <v>4.5538999999999996</v>
          </cell>
          <cell r="M6">
            <v>19</v>
          </cell>
          <cell r="O6">
            <v>1.19</v>
          </cell>
          <cell r="P6">
            <v>0.19</v>
          </cell>
        </row>
      </sheetData>
      <sheetData sheetId="1"/>
      <sheetData sheetId="2">
        <row r="7">
          <cell r="H7">
            <v>4.5538999999999996</v>
          </cell>
        </row>
      </sheetData>
      <sheetData sheetId="3">
        <row r="6">
          <cell r="C6" t="str">
            <v>BNR</v>
          </cell>
          <cell r="D6">
            <v>4.5538999999999996</v>
          </cell>
          <cell r="G6" t="str">
            <v>30.06.2017</v>
          </cell>
        </row>
        <row r="7">
          <cell r="G7">
            <v>19</v>
          </cell>
        </row>
      </sheetData>
      <sheetData sheetId="4"/>
      <sheetData sheetId="5"/>
      <sheetData sheetId="6">
        <row r="24">
          <cell r="J24">
            <v>2140987.3200000003</v>
          </cell>
        </row>
        <row r="25">
          <cell r="J25">
            <v>0</v>
          </cell>
        </row>
        <row r="26">
          <cell r="J26">
            <v>41998.81</v>
          </cell>
        </row>
        <row r="30">
          <cell r="J30">
            <v>10000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emag.ro/televizor-led-smart-lg-80-cm-full-hd-32lh6047/pd/DLBKC3BBM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hyperlink" Target="https://www.prodimar.ro/chiller-modular-hyudai-i65-65kw-p9434.html" TargetMode="Externa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deman.ro/ro/tub-riflat-legrand-d20-651220/p/1011631" TargetMode="External"/><Relationship Id="rId2" Type="http://schemas.openxmlformats.org/officeDocument/2006/relationships/hyperlink" Target="https://www.materialeelectrice.ro/corp-de-iluminat-de-siguranta-cu-led-uri-356-x-136-x-84-mm-4w-kit-emergenta-24171" TargetMode="External"/><Relationship Id="rId1" Type="http://schemas.openxmlformats.org/officeDocument/2006/relationships/hyperlink" Target="https://www.dedeman.ro/ro/tub-riflat-legrand-d20-651220/p/101163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edeman.ro/ro/tub-riflat-legrand-d20-651220/p/101163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KL121"/>
  <sheetViews>
    <sheetView view="pageBreakPreview" zoomScale="51" zoomScaleNormal="55" zoomScaleSheetLayoutView="51" workbookViewId="0">
      <pane xSplit="6" ySplit="7" topLeftCell="G8" activePane="bottomRight" state="frozen"/>
      <selection activeCell="J12" sqref="J12"/>
      <selection pane="topRight" activeCell="J12" sqref="J12"/>
      <selection pane="bottomLeft" activeCell="J12" sqref="J12"/>
      <selection pane="bottomRight" activeCell="G16" sqref="G16"/>
    </sheetView>
  </sheetViews>
  <sheetFormatPr defaultRowHeight="15.75" x14ac:dyDescent="0.25"/>
  <cols>
    <col min="1" max="1" width="2.5703125" style="621" customWidth="1"/>
    <col min="2" max="2" width="8.5703125" style="670" customWidth="1"/>
    <col min="3" max="4" width="9.140625" style="621"/>
    <col min="5" max="5" width="16.140625" style="621" customWidth="1"/>
    <col min="6" max="6" width="75" style="621" customWidth="1"/>
    <col min="7" max="24" width="15.7109375" style="617" customWidth="1"/>
    <col min="25" max="36" width="10.7109375" style="617" hidden="1" customWidth="1"/>
    <col min="37" max="37" width="22.42578125" style="671" customWidth="1"/>
    <col min="38" max="38" width="7" style="619" customWidth="1"/>
    <col min="39" max="39" width="20.7109375" style="620" customWidth="1"/>
    <col min="40" max="40" width="27.28515625" style="620" customWidth="1"/>
    <col min="41" max="41" width="13.28515625" style="620" bestFit="1" customWidth="1"/>
    <col min="42" max="273" width="9.140625" style="620"/>
    <col min="274" max="274" width="21.42578125" style="620" customWidth="1"/>
    <col min="275" max="275" width="10.7109375" style="620" customWidth="1"/>
    <col min="276" max="277" width="9.85546875" style="620" customWidth="1"/>
    <col min="278" max="278" width="9.28515625" style="620" customWidth="1"/>
    <col min="279" max="279" width="10.140625" style="620" customWidth="1"/>
    <col min="280" max="280" width="10.85546875" style="620" customWidth="1"/>
    <col min="281" max="281" width="10.7109375" style="620" customWidth="1"/>
    <col min="282" max="282" width="11.28515625" style="620" customWidth="1"/>
    <col min="283" max="283" width="10.85546875" style="620" customWidth="1"/>
    <col min="284" max="284" width="9.85546875" style="620" customWidth="1"/>
    <col min="285" max="285" width="10.85546875" style="620" customWidth="1"/>
    <col min="286" max="286" width="10.140625" style="620" customWidth="1"/>
    <col min="287" max="287" width="11.5703125" style="620" customWidth="1"/>
    <col min="288" max="288" width="11.28515625" style="620" customWidth="1"/>
    <col min="289" max="289" width="9.5703125" style="620" customWidth="1"/>
    <col min="290" max="290" width="9.7109375" style="620" customWidth="1"/>
    <col min="291" max="291" width="10.7109375" style="620" customWidth="1"/>
    <col min="292" max="292" width="11" style="620" customWidth="1"/>
    <col min="293" max="298" width="9.140625" style="620"/>
    <col min="299" max="529" width="9.140625" style="621"/>
    <col min="530" max="530" width="21.42578125" style="621" customWidth="1"/>
    <col min="531" max="531" width="10.7109375" style="621" customWidth="1"/>
    <col min="532" max="533" width="9.85546875" style="621" customWidth="1"/>
    <col min="534" max="534" width="9.28515625" style="621" customWidth="1"/>
    <col min="535" max="535" width="10.140625" style="621" customWidth="1"/>
    <col min="536" max="536" width="10.85546875" style="621" customWidth="1"/>
    <col min="537" max="537" width="10.7109375" style="621" customWidth="1"/>
    <col min="538" max="538" width="11.28515625" style="621" customWidth="1"/>
    <col min="539" max="539" width="10.85546875" style="621" customWidth="1"/>
    <col min="540" max="540" width="9.85546875" style="621" customWidth="1"/>
    <col min="541" max="541" width="10.85546875" style="621" customWidth="1"/>
    <col min="542" max="542" width="10.140625" style="621" customWidth="1"/>
    <col min="543" max="543" width="11.5703125" style="621" customWidth="1"/>
    <col min="544" max="544" width="11.28515625" style="621" customWidth="1"/>
    <col min="545" max="545" width="9.5703125" style="621" customWidth="1"/>
    <col min="546" max="546" width="9.7109375" style="621" customWidth="1"/>
    <col min="547" max="547" width="10.7109375" style="621" customWidth="1"/>
    <col min="548" max="548" width="11" style="621" customWidth="1"/>
    <col min="549" max="785" width="9.140625" style="621"/>
    <col min="786" max="786" width="21.42578125" style="621" customWidth="1"/>
    <col min="787" max="787" width="10.7109375" style="621" customWidth="1"/>
    <col min="788" max="789" width="9.85546875" style="621" customWidth="1"/>
    <col min="790" max="790" width="9.28515625" style="621" customWidth="1"/>
    <col min="791" max="791" width="10.140625" style="621" customWidth="1"/>
    <col min="792" max="792" width="10.85546875" style="621" customWidth="1"/>
    <col min="793" max="793" width="10.7109375" style="621" customWidth="1"/>
    <col min="794" max="794" width="11.28515625" style="621" customWidth="1"/>
    <col min="795" max="795" width="10.85546875" style="621" customWidth="1"/>
    <col min="796" max="796" width="9.85546875" style="621" customWidth="1"/>
    <col min="797" max="797" width="10.85546875" style="621" customWidth="1"/>
    <col min="798" max="798" width="10.140625" style="621" customWidth="1"/>
    <col min="799" max="799" width="11.5703125" style="621" customWidth="1"/>
    <col min="800" max="800" width="11.28515625" style="621" customWidth="1"/>
    <col min="801" max="801" width="9.5703125" style="621" customWidth="1"/>
    <col min="802" max="802" width="9.7109375" style="621" customWidth="1"/>
    <col min="803" max="803" width="10.7109375" style="621" customWidth="1"/>
    <col min="804" max="804" width="11" style="621" customWidth="1"/>
    <col min="805" max="1041" width="9.140625" style="621"/>
    <col min="1042" max="1042" width="21.42578125" style="621" customWidth="1"/>
    <col min="1043" max="1043" width="10.7109375" style="621" customWidth="1"/>
    <col min="1044" max="1045" width="9.85546875" style="621" customWidth="1"/>
    <col min="1046" max="1046" width="9.28515625" style="621" customWidth="1"/>
    <col min="1047" max="1047" width="10.140625" style="621" customWidth="1"/>
    <col min="1048" max="1048" width="10.85546875" style="621" customWidth="1"/>
    <col min="1049" max="1049" width="10.7109375" style="621" customWidth="1"/>
    <col min="1050" max="1050" width="11.28515625" style="621" customWidth="1"/>
    <col min="1051" max="1051" width="10.85546875" style="621" customWidth="1"/>
    <col min="1052" max="1052" width="9.85546875" style="621" customWidth="1"/>
    <col min="1053" max="1053" width="10.85546875" style="621" customWidth="1"/>
    <col min="1054" max="1054" width="10.140625" style="621" customWidth="1"/>
    <col min="1055" max="1055" width="11.5703125" style="621" customWidth="1"/>
    <col min="1056" max="1056" width="11.28515625" style="621" customWidth="1"/>
    <col min="1057" max="1057" width="9.5703125" style="621" customWidth="1"/>
    <col min="1058" max="1058" width="9.7109375" style="621" customWidth="1"/>
    <col min="1059" max="1059" width="10.7109375" style="621" customWidth="1"/>
    <col min="1060" max="1060" width="11" style="621" customWidth="1"/>
    <col min="1061" max="1297" width="9.140625" style="621"/>
    <col min="1298" max="1298" width="21.42578125" style="621" customWidth="1"/>
    <col min="1299" max="1299" width="10.7109375" style="621" customWidth="1"/>
    <col min="1300" max="1301" width="9.85546875" style="621" customWidth="1"/>
    <col min="1302" max="1302" width="9.28515625" style="621" customWidth="1"/>
    <col min="1303" max="1303" width="10.140625" style="621" customWidth="1"/>
    <col min="1304" max="1304" width="10.85546875" style="621" customWidth="1"/>
    <col min="1305" max="1305" width="10.7109375" style="621" customWidth="1"/>
    <col min="1306" max="1306" width="11.28515625" style="621" customWidth="1"/>
    <col min="1307" max="1307" width="10.85546875" style="621" customWidth="1"/>
    <col min="1308" max="1308" width="9.85546875" style="621" customWidth="1"/>
    <col min="1309" max="1309" width="10.85546875" style="621" customWidth="1"/>
    <col min="1310" max="1310" width="10.140625" style="621" customWidth="1"/>
    <col min="1311" max="1311" width="11.5703125" style="621" customWidth="1"/>
    <col min="1312" max="1312" width="11.28515625" style="621" customWidth="1"/>
    <col min="1313" max="1313" width="9.5703125" style="621" customWidth="1"/>
    <col min="1314" max="1314" width="9.7109375" style="621" customWidth="1"/>
    <col min="1315" max="1315" width="10.7109375" style="621" customWidth="1"/>
    <col min="1316" max="1316" width="11" style="621" customWidth="1"/>
    <col min="1317" max="1553" width="9.140625" style="621"/>
    <col min="1554" max="1554" width="21.42578125" style="621" customWidth="1"/>
    <col min="1555" max="1555" width="10.7109375" style="621" customWidth="1"/>
    <col min="1556" max="1557" width="9.85546875" style="621" customWidth="1"/>
    <col min="1558" max="1558" width="9.28515625" style="621" customWidth="1"/>
    <col min="1559" max="1559" width="10.140625" style="621" customWidth="1"/>
    <col min="1560" max="1560" width="10.85546875" style="621" customWidth="1"/>
    <col min="1561" max="1561" width="10.7109375" style="621" customWidth="1"/>
    <col min="1562" max="1562" width="11.28515625" style="621" customWidth="1"/>
    <col min="1563" max="1563" width="10.85546875" style="621" customWidth="1"/>
    <col min="1564" max="1564" width="9.85546875" style="621" customWidth="1"/>
    <col min="1565" max="1565" width="10.85546875" style="621" customWidth="1"/>
    <col min="1566" max="1566" width="10.140625" style="621" customWidth="1"/>
    <col min="1567" max="1567" width="11.5703125" style="621" customWidth="1"/>
    <col min="1568" max="1568" width="11.28515625" style="621" customWidth="1"/>
    <col min="1569" max="1569" width="9.5703125" style="621" customWidth="1"/>
    <col min="1570" max="1570" width="9.7109375" style="621" customWidth="1"/>
    <col min="1571" max="1571" width="10.7109375" style="621" customWidth="1"/>
    <col min="1572" max="1572" width="11" style="621" customWidth="1"/>
    <col min="1573" max="1809" width="9.140625" style="621"/>
    <col min="1810" max="1810" width="21.42578125" style="621" customWidth="1"/>
    <col min="1811" max="1811" width="10.7109375" style="621" customWidth="1"/>
    <col min="1812" max="1813" width="9.85546875" style="621" customWidth="1"/>
    <col min="1814" max="1814" width="9.28515625" style="621" customWidth="1"/>
    <col min="1815" max="1815" width="10.140625" style="621" customWidth="1"/>
    <col min="1816" max="1816" width="10.85546875" style="621" customWidth="1"/>
    <col min="1817" max="1817" width="10.7109375" style="621" customWidth="1"/>
    <col min="1818" max="1818" width="11.28515625" style="621" customWidth="1"/>
    <col min="1819" max="1819" width="10.85546875" style="621" customWidth="1"/>
    <col min="1820" max="1820" width="9.85546875" style="621" customWidth="1"/>
    <col min="1821" max="1821" width="10.85546875" style="621" customWidth="1"/>
    <col min="1822" max="1822" width="10.140625" style="621" customWidth="1"/>
    <col min="1823" max="1823" width="11.5703125" style="621" customWidth="1"/>
    <col min="1824" max="1824" width="11.28515625" style="621" customWidth="1"/>
    <col min="1825" max="1825" width="9.5703125" style="621" customWidth="1"/>
    <col min="1826" max="1826" width="9.7109375" style="621" customWidth="1"/>
    <col min="1827" max="1827" width="10.7109375" style="621" customWidth="1"/>
    <col min="1828" max="1828" width="11" style="621" customWidth="1"/>
    <col min="1829" max="2065" width="9.140625" style="621"/>
    <col min="2066" max="2066" width="21.42578125" style="621" customWidth="1"/>
    <col min="2067" max="2067" width="10.7109375" style="621" customWidth="1"/>
    <col min="2068" max="2069" width="9.85546875" style="621" customWidth="1"/>
    <col min="2070" max="2070" width="9.28515625" style="621" customWidth="1"/>
    <col min="2071" max="2071" width="10.140625" style="621" customWidth="1"/>
    <col min="2072" max="2072" width="10.85546875" style="621" customWidth="1"/>
    <col min="2073" max="2073" width="10.7109375" style="621" customWidth="1"/>
    <col min="2074" max="2074" width="11.28515625" style="621" customWidth="1"/>
    <col min="2075" max="2075" width="10.85546875" style="621" customWidth="1"/>
    <col min="2076" max="2076" width="9.85546875" style="621" customWidth="1"/>
    <col min="2077" max="2077" width="10.85546875" style="621" customWidth="1"/>
    <col min="2078" max="2078" width="10.140625" style="621" customWidth="1"/>
    <col min="2079" max="2079" width="11.5703125" style="621" customWidth="1"/>
    <col min="2080" max="2080" width="11.28515625" style="621" customWidth="1"/>
    <col min="2081" max="2081" width="9.5703125" style="621" customWidth="1"/>
    <col min="2082" max="2082" width="9.7109375" style="621" customWidth="1"/>
    <col min="2083" max="2083" width="10.7109375" style="621" customWidth="1"/>
    <col min="2084" max="2084" width="11" style="621" customWidth="1"/>
    <col min="2085" max="2321" width="9.140625" style="621"/>
    <col min="2322" max="2322" width="21.42578125" style="621" customWidth="1"/>
    <col min="2323" max="2323" width="10.7109375" style="621" customWidth="1"/>
    <col min="2324" max="2325" width="9.85546875" style="621" customWidth="1"/>
    <col min="2326" max="2326" width="9.28515625" style="621" customWidth="1"/>
    <col min="2327" max="2327" width="10.140625" style="621" customWidth="1"/>
    <col min="2328" max="2328" width="10.85546875" style="621" customWidth="1"/>
    <col min="2329" max="2329" width="10.7109375" style="621" customWidth="1"/>
    <col min="2330" max="2330" width="11.28515625" style="621" customWidth="1"/>
    <col min="2331" max="2331" width="10.85546875" style="621" customWidth="1"/>
    <col min="2332" max="2332" width="9.85546875" style="621" customWidth="1"/>
    <col min="2333" max="2333" width="10.85546875" style="621" customWidth="1"/>
    <col min="2334" max="2334" width="10.140625" style="621" customWidth="1"/>
    <col min="2335" max="2335" width="11.5703125" style="621" customWidth="1"/>
    <col min="2336" max="2336" width="11.28515625" style="621" customWidth="1"/>
    <col min="2337" max="2337" width="9.5703125" style="621" customWidth="1"/>
    <col min="2338" max="2338" width="9.7109375" style="621" customWidth="1"/>
    <col min="2339" max="2339" width="10.7109375" style="621" customWidth="1"/>
    <col min="2340" max="2340" width="11" style="621" customWidth="1"/>
    <col min="2341" max="2577" width="9.140625" style="621"/>
    <col min="2578" max="2578" width="21.42578125" style="621" customWidth="1"/>
    <col min="2579" max="2579" width="10.7109375" style="621" customWidth="1"/>
    <col min="2580" max="2581" width="9.85546875" style="621" customWidth="1"/>
    <col min="2582" max="2582" width="9.28515625" style="621" customWidth="1"/>
    <col min="2583" max="2583" width="10.140625" style="621" customWidth="1"/>
    <col min="2584" max="2584" width="10.85546875" style="621" customWidth="1"/>
    <col min="2585" max="2585" width="10.7109375" style="621" customWidth="1"/>
    <col min="2586" max="2586" width="11.28515625" style="621" customWidth="1"/>
    <col min="2587" max="2587" width="10.85546875" style="621" customWidth="1"/>
    <col min="2588" max="2588" width="9.85546875" style="621" customWidth="1"/>
    <col min="2589" max="2589" width="10.85546875" style="621" customWidth="1"/>
    <col min="2590" max="2590" width="10.140625" style="621" customWidth="1"/>
    <col min="2591" max="2591" width="11.5703125" style="621" customWidth="1"/>
    <col min="2592" max="2592" width="11.28515625" style="621" customWidth="1"/>
    <col min="2593" max="2593" width="9.5703125" style="621" customWidth="1"/>
    <col min="2594" max="2594" width="9.7109375" style="621" customWidth="1"/>
    <col min="2595" max="2595" width="10.7109375" style="621" customWidth="1"/>
    <col min="2596" max="2596" width="11" style="621" customWidth="1"/>
    <col min="2597" max="2833" width="9.140625" style="621"/>
    <col min="2834" max="2834" width="21.42578125" style="621" customWidth="1"/>
    <col min="2835" max="2835" width="10.7109375" style="621" customWidth="1"/>
    <col min="2836" max="2837" width="9.85546875" style="621" customWidth="1"/>
    <col min="2838" max="2838" width="9.28515625" style="621" customWidth="1"/>
    <col min="2839" max="2839" width="10.140625" style="621" customWidth="1"/>
    <col min="2840" max="2840" width="10.85546875" style="621" customWidth="1"/>
    <col min="2841" max="2841" width="10.7109375" style="621" customWidth="1"/>
    <col min="2842" max="2842" width="11.28515625" style="621" customWidth="1"/>
    <col min="2843" max="2843" width="10.85546875" style="621" customWidth="1"/>
    <col min="2844" max="2844" width="9.85546875" style="621" customWidth="1"/>
    <col min="2845" max="2845" width="10.85546875" style="621" customWidth="1"/>
    <col min="2846" max="2846" width="10.140625" style="621" customWidth="1"/>
    <col min="2847" max="2847" width="11.5703125" style="621" customWidth="1"/>
    <col min="2848" max="2848" width="11.28515625" style="621" customWidth="1"/>
    <col min="2849" max="2849" width="9.5703125" style="621" customWidth="1"/>
    <col min="2850" max="2850" width="9.7109375" style="621" customWidth="1"/>
    <col min="2851" max="2851" width="10.7109375" style="621" customWidth="1"/>
    <col min="2852" max="2852" width="11" style="621" customWidth="1"/>
    <col min="2853" max="3089" width="9.140625" style="621"/>
    <col min="3090" max="3090" width="21.42578125" style="621" customWidth="1"/>
    <col min="3091" max="3091" width="10.7109375" style="621" customWidth="1"/>
    <col min="3092" max="3093" width="9.85546875" style="621" customWidth="1"/>
    <col min="3094" max="3094" width="9.28515625" style="621" customWidth="1"/>
    <col min="3095" max="3095" width="10.140625" style="621" customWidth="1"/>
    <col min="3096" max="3096" width="10.85546875" style="621" customWidth="1"/>
    <col min="3097" max="3097" width="10.7109375" style="621" customWidth="1"/>
    <col min="3098" max="3098" width="11.28515625" style="621" customWidth="1"/>
    <col min="3099" max="3099" width="10.85546875" style="621" customWidth="1"/>
    <col min="3100" max="3100" width="9.85546875" style="621" customWidth="1"/>
    <col min="3101" max="3101" width="10.85546875" style="621" customWidth="1"/>
    <col min="3102" max="3102" width="10.140625" style="621" customWidth="1"/>
    <col min="3103" max="3103" width="11.5703125" style="621" customWidth="1"/>
    <col min="3104" max="3104" width="11.28515625" style="621" customWidth="1"/>
    <col min="3105" max="3105" width="9.5703125" style="621" customWidth="1"/>
    <col min="3106" max="3106" width="9.7109375" style="621" customWidth="1"/>
    <col min="3107" max="3107" width="10.7109375" style="621" customWidth="1"/>
    <col min="3108" max="3108" width="11" style="621" customWidth="1"/>
    <col min="3109" max="3345" width="9.140625" style="621"/>
    <col min="3346" max="3346" width="21.42578125" style="621" customWidth="1"/>
    <col min="3347" max="3347" width="10.7109375" style="621" customWidth="1"/>
    <col min="3348" max="3349" width="9.85546875" style="621" customWidth="1"/>
    <col min="3350" max="3350" width="9.28515625" style="621" customWidth="1"/>
    <col min="3351" max="3351" width="10.140625" style="621" customWidth="1"/>
    <col min="3352" max="3352" width="10.85546875" style="621" customWidth="1"/>
    <col min="3353" max="3353" width="10.7109375" style="621" customWidth="1"/>
    <col min="3354" max="3354" width="11.28515625" style="621" customWidth="1"/>
    <col min="3355" max="3355" width="10.85546875" style="621" customWidth="1"/>
    <col min="3356" max="3356" width="9.85546875" style="621" customWidth="1"/>
    <col min="3357" max="3357" width="10.85546875" style="621" customWidth="1"/>
    <col min="3358" max="3358" width="10.140625" style="621" customWidth="1"/>
    <col min="3359" max="3359" width="11.5703125" style="621" customWidth="1"/>
    <col min="3360" max="3360" width="11.28515625" style="621" customWidth="1"/>
    <col min="3361" max="3361" width="9.5703125" style="621" customWidth="1"/>
    <col min="3362" max="3362" width="9.7109375" style="621" customWidth="1"/>
    <col min="3363" max="3363" width="10.7109375" style="621" customWidth="1"/>
    <col min="3364" max="3364" width="11" style="621" customWidth="1"/>
    <col min="3365" max="3601" width="9.140625" style="621"/>
    <col min="3602" max="3602" width="21.42578125" style="621" customWidth="1"/>
    <col min="3603" max="3603" width="10.7109375" style="621" customWidth="1"/>
    <col min="3604" max="3605" width="9.85546875" style="621" customWidth="1"/>
    <col min="3606" max="3606" width="9.28515625" style="621" customWidth="1"/>
    <col min="3607" max="3607" width="10.140625" style="621" customWidth="1"/>
    <col min="3608" max="3608" width="10.85546875" style="621" customWidth="1"/>
    <col min="3609" max="3609" width="10.7109375" style="621" customWidth="1"/>
    <col min="3610" max="3610" width="11.28515625" style="621" customWidth="1"/>
    <col min="3611" max="3611" width="10.85546875" style="621" customWidth="1"/>
    <col min="3612" max="3612" width="9.85546875" style="621" customWidth="1"/>
    <col min="3613" max="3613" width="10.85546875" style="621" customWidth="1"/>
    <col min="3614" max="3614" width="10.140625" style="621" customWidth="1"/>
    <col min="3615" max="3615" width="11.5703125" style="621" customWidth="1"/>
    <col min="3616" max="3616" width="11.28515625" style="621" customWidth="1"/>
    <col min="3617" max="3617" width="9.5703125" style="621" customWidth="1"/>
    <col min="3618" max="3618" width="9.7109375" style="621" customWidth="1"/>
    <col min="3619" max="3619" width="10.7109375" style="621" customWidth="1"/>
    <col min="3620" max="3620" width="11" style="621" customWidth="1"/>
    <col min="3621" max="3857" width="9.140625" style="621"/>
    <col min="3858" max="3858" width="21.42578125" style="621" customWidth="1"/>
    <col min="3859" max="3859" width="10.7109375" style="621" customWidth="1"/>
    <col min="3860" max="3861" width="9.85546875" style="621" customWidth="1"/>
    <col min="3862" max="3862" width="9.28515625" style="621" customWidth="1"/>
    <col min="3863" max="3863" width="10.140625" style="621" customWidth="1"/>
    <col min="3864" max="3864" width="10.85546875" style="621" customWidth="1"/>
    <col min="3865" max="3865" width="10.7109375" style="621" customWidth="1"/>
    <col min="3866" max="3866" width="11.28515625" style="621" customWidth="1"/>
    <col min="3867" max="3867" width="10.85546875" style="621" customWidth="1"/>
    <col min="3868" max="3868" width="9.85546875" style="621" customWidth="1"/>
    <col min="3869" max="3869" width="10.85546875" style="621" customWidth="1"/>
    <col min="3870" max="3870" width="10.140625" style="621" customWidth="1"/>
    <col min="3871" max="3871" width="11.5703125" style="621" customWidth="1"/>
    <col min="3872" max="3872" width="11.28515625" style="621" customWidth="1"/>
    <col min="3873" max="3873" width="9.5703125" style="621" customWidth="1"/>
    <col min="3874" max="3874" width="9.7109375" style="621" customWidth="1"/>
    <col min="3875" max="3875" width="10.7109375" style="621" customWidth="1"/>
    <col min="3876" max="3876" width="11" style="621" customWidth="1"/>
    <col min="3877" max="4113" width="9.140625" style="621"/>
    <col min="4114" max="4114" width="21.42578125" style="621" customWidth="1"/>
    <col min="4115" max="4115" width="10.7109375" style="621" customWidth="1"/>
    <col min="4116" max="4117" width="9.85546875" style="621" customWidth="1"/>
    <col min="4118" max="4118" width="9.28515625" style="621" customWidth="1"/>
    <col min="4119" max="4119" width="10.140625" style="621" customWidth="1"/>
    <col min="4120" max="4120" width="10.85546875" style="621" customWidth="1"/>
    <col min="4121" max="4121" width="10.7109375" style="621" customWidth="1"/>
    <col min="4122" max="4122" width="11.28515625" style="621" customWidth="1"/>
    <col min="4123" max="4123" width="10.85546875" style="621" customWidth="1"/>
    <col min="4124" max="4124" width="9.85546875" style="621" customWidth="1"/>
    <col min="4125" max="4125" width="10.85546875" style="621" customWidth="1"/>
    <col min="4126" max="4126" width="10.140625" style="621" customWidth="1"/>
    <col min="4127" max="4127" width="11.5703125" style="621" customWidth="1"/>
    <col min="4128" max="4128" width="11.28515625" style="621" customWidth="1"/>
    <col min="4129" max="4129" width="9.5703125" style="621" customWidth="1"/>
    <col min="4130" max="4130" width="9.7109375" style="621" customWidth="1"/>
    <col min="4131" max="4131" width="10.7109375" style="621" customWidth="1"/>
    <col min="4132" max="4132" width="11" style="621" customWidth="1"/>
    <col min="4133" max="4369" width="9.140625" style="621"/>
    <col min="4370" max="4370" width="21.42578125" style="621" customWidth="1"/>
    <col min="4371" max="4371" width="10.7109375" style="621" customWidth="1"/>
    <col min="4372" max="4373" width="9.85546875" style="621" customWidth="1"/>
    <col min="4374" max="4374" width="9.28515625" style="621" customWidth="1"/>
    <col min="4375" max="4375" width="10.140625" style="621" customWidth="1"/>
    <col min="4376" max="4376" width="10.85546875" style="621" customWidth="1"/>
    <col min="4377" max="4377" width="10.7109375" style="621" customWidth="1"/>
    <col min="4378" max="4378" width="11.28515625" style="621" customWidth="1"/>
    <col min="4379" max="4379" width="10.85546875" style="621" customWidth="1"/>
    <col min="4380" max="4380" width="9.85546875" style="621" customWidth="1"/>
    <col min="4381" max="4381" width="10.85546875" style="621" customWidth="1"/>
    <col min="4382" max="4382" width="10.140625" style="621" customWidth="1"/>
    <col min="4383" max="4383" width="11.5703125" style="621" customWidth="1"/>
    <col min="4384" max="4384" width="11.28515625" style="621" customWidth="1"/>
    <col min="4385" max="4385" width="9.5703125" style="621" customWidth="1"/>
    <col min="4386" max="4386" width="9.7109375" style="621" customWidth="1"/>
    <col min="4387" max="4387" width="10.7109375" style="621" customWidth="1"/>
    <col min="4388" max="4388" width="11" style="621" customWidth="1"/>
    <col min="4389" max="4625" width="9.140625" style="621"/>
    <col min="4626" max="4626" width="21.42578125" style="621" customWidth="1"/>
    <col min="4627" max="4627" width="10.7109375" style="621" customWidth="1"/>
    <col min="4628" max="4629" width="9.85546875" style="621" customWidth="1"/>
    <col min="4630" max="4630" width="9.28515625" style="621" customWidth="1"/>
    <col min="4631" max="4631" width="10.140625" style="621" customWidth="1"/>
    <col min="4632" max="4632" width="10.85546875" style="621" customWidth="1"/>
    <col min="4633" max="4633" width="10.7109375" style="621" customWidth="1"/>
    <col min="4634" max="4634" width="11.28515625" style="621" customWidth="1"/>
    <col min="4635" max="4635" width="10.85546875" style="621" customWidth="1"/>
    <col min="4636" max="4636" width="9.85546875" style="621" customWidth="1"/>
    <col min="4637" max="4637" width="10.85546875" style="621" customWidth="1"/>
    <col min="4638" max="4638" width="10.140625" style="621" customWidth="1"/>
    <col min="4639" max="4639" width="11.5703125" style="621" customWidth="1"/>
    <col min="4640" max="4640" width="11.28515625" style="621" customWidth="1"/>
    <col min="4641" max="4641" width="9.5703125" style="621" customWidth="1"/>
    <col min="4642" max="4642" width="9.7109375" style="621" customWidth="1"/>
    <col min="4643" max="4643" width="10.7109375" style="621" customWidth="1"/>
    <col min="4644" max="4644" width="11" style="621" customWidth="1"/>
    <col min="4645" max="4881" width="9.140625" style="621"/>
    <col min="4882" max="4882" width="21.42578125" style="621" customWidth="1"/>
    <col min="4883" max="4883" width="10.7109375" style="621" customWidth="1"/>
    <col min="4884" max="4885" width="9.85546875" style="621" customWidth="1"/>
    <col min="4886" max="4886" width="9.28515625" style="621" customWidth="1"/>
    <col min="4887" max="4887" width="10.140625" style="621" customWidth="1"/>
    <col min="4888" max="4888" width="10.85546875" style="621" customWidth="1"/>
    <col min="4889" max="4889" width="10.7109375" style="621" customWidth="1"/>
    <col min="4890" max="4890" width="11.28515625" style="621" customWidth="1"/>
    <col min="4891" max="4891" width="10.85546875" style="621" customWidth="1"/>
    <col min="4892" max="4892" width="9.85546875" style="621" customWidth="1"/>
    <col min="4893" max="4893" width="10.85546875" style="621" customWidth="1"/>
    <col min="4894" max="4894" width="10.140625" style="621" customWidth="1"/>
    <col min="4895" max="4895" width="11.5703125" style="621" customWidth="1"/>
    <col min="4896" max="4896" width="11.28515625" style="621" customWidth="1"/>
    <col min="4897" max="4897" width="9.5703125" style="621" customWidth="1"/>
    <col min="4898" max="4898" width="9.7109375" style="621" customWidth="1"/>
    <col min="4899" max="4899" width="10.7109375" style="621" customWidth="1"/>
    <col min="4900" max="4900" width="11" style="621" customWidth="1"/>
    <col min="4901" max="5137" width="9.140625" style="621"/>
    <col min="5138" max="5138" width="21.42578125" style="621" customWidth="1"/>
    <col min="5139" max="5139" width="10.7109375" style="621" customWidth="1"/>
    <col min="5140" max="5141" width="9.85546875" style="621" customWidth="1"/>
    <col min="5142" max="5142" width="9.28515625" style="621" customWidth="1"/>
    <col min="5143" max="5143" width="10.140625" style="621" customWidth="1"/>
    <col min="5144" max="5144" width="10.85546875" style="621" customWidth="1"/>
    <col min="5145" max="5145" width="10.7109375" style="621" customWidth="1"/>
    <col min="5146" max="5146" width="11.28515625" style="621" customWidth="1"/>
    <col min="5147" max="5147" width="10.85546875" style="621" customWidth="1"/>
    <col min="5148" max="5148" width="9.85546875" style="621" customWidth="1"/>
    <col min="5149" max="5149" width="10.85546875" style="621" customWidth="1"/>
    <col min="5150" max="5150" width="10.140625" style="621" customWidth="1"/>
    <col min="5151" max="5151" width="11.5703125" style="621" customWidth="1"/>
    <col min="5152" max="5152" width="11.28515625" style="621" customWidth="1"/>
    <col min="5153" max="5153" width="9.5703125" style="621" customWidth="1"/>
    <col min="5154" max="5154" width="9.7109375" style="621" customWidth="1"/>
    <col min="5155" max="5155" width="10.7109375" style="621" customWidth="1"/>
    <col min="5156" max="5156" width="11" style="621" customWidth="1"/>
    <col min="5157" max="5393" width="9.140625" style="621"/>
    <col min="5394" max="5394" width="21.42578125" style="621" customWidth="1"/>
    <col min="5395" max="5395" width="10.7109375" style="621" customWidth="1"/>
    <col min="5396" max="5397" width="9.85546875" style="621" customWidth="1"/>
    <col min="5398" max="5398" width="9.28515625" style="621" customWidth="1"/>
    <col min="5399" max="5399" width="10.140625" style="621" customWidth="1"/>
    <col min="5400" max="5400" width="10.85546875" style="621" customWidth="1"/>
    <col min="5401" max="5401" width="10.7109375" style="621" customWidth="1"/>
    <col min="5402" max="5402" width="11.28515625" style="621" customWidth="1"/>
    <col min="5403" max="5403" width="10.85546875" style="621" customWidth="1"/>
    <col min="5404" max="5404" width="9.85546875" style="621" customWidth="1"/>
    <col min="5405" max="5405" width="10.85546875" style="621" customWidth="1"/>
    <col min="5406" max="5406" width="10.140625" style="621" customWidth="1"/>
    <col min="5407" max="5407" width="11.5703125" style="621" customWidth="1"/>
    <col min="5408" max="5408" width="11.28515625" style="621" customWidth="1"/>
    <col min="5409" max="5409" width="9.5703125" style="621" customWidth="1"/>
    <col min="5410" max="5410" width="9.7109375" style="621" customWidth="1"/>
    <col min="5411" max="5411" width="10.7109375" style="621" customWidth="1"/>
    <col min="5412" max="5412" width="11" style="621" customWidth="1"/>
    <col min="5413" max="5649" width="9.140625" style="621"/>
    <col min="5650" max="5650" width="21.42578125" style="621" customWidth="1"/>
    <col min="5651" max="5651" width="10.7109375" style="621" customWidth="1"/>
    <col min="5652" max="5653" width="9.85546875" style="621" customWidth="1"/>
    <col min="5654" max="5654" width="9.28515625" style="621" customWidth="1"/>
    <col min="5655" max="5655" width="10.140625" style="621" customWidth="1"/>
    <col min="5656" max="5656" width="10.85546875" style="621" customWidth="1"/>
    <col min="5657" max="5657" width="10.7109375" style="621" customWidth="1"/>
    <col min="5658" max="5658" width="11.28515625" style="621" customWidth="1"/>
    <col min="5659" max="5659" width="10.85546875" style="621" customWidth="1"/>
    <col min="5660" max="5660" width="9.85546875" style="621" customWidth="1"/>
    <col min="5661" max="5661" width="10.85546875" style="621" customWidth="1"/>
    <col min="5662" max="5662" width="10.140625" style="621" customWidth="1"/>
    <col min="5663" max="5663" width="11.5703125" style="621" customWidth="1"/>
    <col min="5664" max="5664" width="11.28515625" style="621" customWidth="1"/>
    <col min="5665" max="5665" width="9.5703125" style="621" customWidth="1"/>
    <col min="5666" max="5666" width="9.7109375" style="621" customWidth="1"/>
    <col min="5667" max="5667" width="10.7109375" style="621" customWidth="1"/>
    <col min="5668" max="5668" width="11" style="621" customWidth="1"/>
    <col min="5669" max="5905" width="9.140625" style="621"/>
    <col min="5906" max="5906" width="21.42578125" style="621" customWidth="1"/>
    <col min="5907" max="5907" width="10.7109375" style="621" customWidth="1"/>
    <col min="5908" max="5909" width="9.85546875" style="621" customWidth="1"/>
    <col min="5910" max="5910" width="9.28515625" style="621" customWidth="1"/>
    <col min="5911" max="5911" width="10.140625" style="621" customWidth="1"/>
    <col min="5912" max="5912" width="10.85546875" style="621" customWidth="1"/>
    <col min="5913" max="5913" width="10.7109375" style="621" customWidth="1"/>
    <col min="5914" max="5914" width="11.28515625" style="621" customWidth="1"/>
    <col min="5915" max="5915" width="10.85546875" style="621" customWidth="1"/>
    <col min="5916" max="5916" width="9.85546875" style="621" customWidth="1"/>
    <col min="5917" max="5917" width="10.85546875" style="621" customWidth="1"/>
    <col min="5918" max="5918" width="10.140625" style="621" customWidth="1"/>
    <col min="5919" max="5919" width="11.5703125" style="621" customWidth="1"/>
    <col min="5920" max="5920" width="11.28515625" style="621" customWidth="1"/>
    <col min="5921" max="5921" width="9.5703125" style="621" customWidth="1"/>
    <col min="5922" max="5922" width="9.7109375" style="621" customWidth="1"/>
    <col min="5923" max="5923" width="10.7109375" style="621" customWidth="1"/>
    <col min="5924" max="5924" width="11" style="621" customWidth="1"/>
    <col min="5925" max="6161" width="9.140625" style="621"/>
    <col min="6162" max="6162" width="21.42578125" style="621" customWidth="1"/>
    <col min="6163" max="6163" width="10.7109375" style="621" customWidth="1"/>
    <col min="6164" max="6165" width="9.85546875" style="621" customWidth="1"/>
    <col min="6166" max="6166" width="9.28515625" style="621" customWidth="1"/>
    <col min="6167" max="6167" width="10.140625" style="621" customWidth="1"/>
    <col min="6168" max="6168" width="10.85546875" style="621" customWidth="1"/>
    <col min="6169" max="6169" width="10.7109375" style="621" customWidth="1"/>
    <col min="6170" max="6170" width="11.28515625" style="621" customWidth="1"/>
    <col min="6171" max="6171" width="10.85546875" style="621" customWidth="1"/>
    <col min="6172" max="6172" width="9.85546875" style="621" customWidth="1"/>
    <col min="6173" max="6173" width="10.85546875" style="621" customWidth="1"/>
    <col min="6174" max="6174" width="10.140625" style="621" customWidth="1"/>
    <col min="6175" max="6175" width="11.5703125" style="621" customWidth="1"/>
    <col min="6176" max="6176" width="11.28515625" style="621" customWidth="1"/>
    <col min="6177" max="6177" width="9.5703125" style="621" customWidth="1"/>
    <col min="6178" max="6178" width="9.7109375" style="621" customWidth="1"/>
    <col min="6179" max="6179" width="10.7109375" style="621" customWidth="1"/>
    <col min="6180" max="6180" width="11" style="621" customWidth="1"/>
    <col min="6181" max="6417" width="9.140625" style="621"/>
    <col min="6418" max="6418" width="21.42578125" style="621" customWidth="1"/>
    <col min="6419" max="6419" width="10.7109375" style="621" customWidth="1"/>
    <col min="6420" max="6421" width="9.85546875" style="621" customWidth="1"/>
    <col min="6422" max="6422" width="9.28515625" style="621" customWidth="1"/>
    <col min="6423" max="6423" width="10.140625" style="621" customWidth="1"/>
    <col min="6424" max="6424" width="10.85546875" style="621" customWidth="1"/>
    <col min="6425" max="6425" width="10.7109375" style="621" customWidth="1"/>
    <col min="6426" max="6426" width="11.28515625" style="621" customWidth="1"/>
    <col min="6427" max="6427" width="10.85546875" style="621" customWidth="1"/>
    <col min="6428" max="6428" width="9.85546875" style="621" customWidth="1"/>
    <col min="6429" max="6429" width="10.85546875" style="621" customWidth="1"/>
    <col min="6430" max="6430" width="10.140625" style="621" customWidth="1"/>
    <col min="6431" max="6431" width="11.5703125" style="621" customWidth="1"/>
    <col min="6432" max="6432" width="11.28515625" style="621" customWidth="1"/>
    <col min="6433" max="6433" width="9.5703125" style="621" customWidth="1"/>
    <col min="6434" max="6434" width="9.7109375" style="621" customWidth="1"/>
    <col min="6435" max="6435" width="10.7109375" style="621" customWidth="1"/>
    <col min="6436" max="6436" width="11" style="621" customWidth="1"/>
    <col min="6437" max="6673" width="9.140625" style="621"/>
    <col min="6674" max="6674" width="21.42578125" style="621" customWidth="1"/>
    <col min="6675" max="6675" width="10.7109375" style="621" customWidth="1"/>
    <col min="6676" max="6677" width="9.85546875" style="621" customWidth="1"/>
    <col min="6678" max="6678" width="9.28515625" style="621" customWidth="1"/>
    <col min="6679" max="6679" width="10.140625" style="621" customWidth="1"/>
    <col min="6680" max="6680" width="10.85546875" style="621" customWidth="1"/>
    <col min="6681" max="6681" width="10.7109375" style="621" customWidth="1"/>
    <col min="6682" max="6682" width="11.28515625" style="621" customWidth="1"/>
    <col min="6683" max="6683" width="10.85546875" style="621" customWidth="1"/>
    <col min="6684" max="6684" width="9.85546875" style="621" customWidth="1"/>
    <col min="6685" max="6685" width="10.85546875" style="621" customWidth="1"/>
    <col min="6686" max="6686" width="10.140625" style="621" customWidth="1"/>
    <col min="6687" max="6687" width="11.5703125" style="621" customWidth="1"/>
    <col min="6688" max="6688" width="11.28515625" style="621" customWidth="1"/>
    <col min="6689" max="6689" width="9.5703125" style="621" customWidth="1"/>
    <col min="6690" max="6690" width="9.7109375" style="621" customWidth="1"/>
    <col min="6691" max="6691" width="10.7109375" style="621" customWidth="1"/>
    <col min="6692" max="6692" width="11" style="621" customWidth="1"/>
    <col min="6693" max="6929" width="9.140625" style="621"/>
    <col min="6930" max="6930" width="21.42578125" style="621" customWidth="1"/>
    <col min="6931" max="6931" width="10.7109375" style="621" customWidth="1"/>
    <col min="6932" max="6933" width="9.85546875" style="621" customWidth="1"/>
    <col min="6934" max="6934" width="9.28515625" style="621" customWidth="1"/>
    <col min="6935" max="6935" width="10.140625" style="621" customWidth="1"/>
    <col min="6936" max="6936" width="10.85546875" style="621" customWidth="1"/>
    <col min="6937" max="6937" width="10.7109375" style="621" customWidth="1"/>
    <col min="6938" max="6938" width="11.28515625" style="621" customWidth="1"/>
    <col min="6939" max="6939" width="10.85546875" style="621" customWidth="1"/>
    <col min="6940" max="6940" width="9.85546875" style="621" customWidth="1"/>
    <col min="6941" max="6941" width="10.85546875" style="621" customWidth="1"/>
    <col min="6942" max="6942" width="10.140625" style="621" customWidth="1"/>
    <col min="6943" max="6943" width="11.5703125" style="621" customWidth="1"/>
    <col min="6944" max="6944" width="11.28515625" style="621" customWidth="1"/>
    <col min="6945" max="6945" width="9.5703125" style="621" customWidth="1"/>
    <col min="6946" max="6946" width="9.7109375" style="621" customWidth="1"/>
    <col min="6947" max="6947" width="10.7109375" style="621" customWidth="1"/>
    <col min="6948" max="6948" width="11" style="621" customWidth="1"/>
    <col min="6949" max="7185" width="9.140625" style="621"/>
    <col min="7186" max="7186" width="21.42578125" style="621" customWidth="1"/>
    <col min="7187" max="7187" width="10.7109375" style="621" customWidth="1"/>
    <col min="7188" max="7189" width="9.85546875" style="621" customWidth="1"/>
    <col min="7190" max="7190" width="9.28515625" style="621" customWidth="1"/>
    <col min="7191" max="7191" width="10.140625" style="621" customWidth="1"/>
    <col min="7192" max="7192" width="10.85546875" style="621" customWidth="1"/>
    <col min="7193" max="7193" width="10.7109375" style="621" customWidth="1"/>
    <col min="7194" max="7194" width="11.28515625" style="621" customWidth="1"/>
    <col min="7195" max="7195" width="10.85546875" style="621" customWidth="1"/>
    <col min="7196" max="7196" width="9.85546875" style="621" customWidth="1"/>
    <col min="7197" max="7197" width="10.85546875" style="621" customWidth="1"/>
    <col min="7198" max="7198" width="10.140625" style="621" customWidth="1"/>
    <col min="7199" max="7199" width="11.5703125" style="621" customWidth="1"/>
    <col min="7200" max="7200" width="11.28515625" style="621" customWidth="1"/>
    <col min="7201" max="7201" width="9.5703125" style="621" customWidth="1"/>
    <col min="7202" max="7202" width="9.7109375" style="621" customWidth="1"/>
    <col min="7203" max="7203" width="10.7109375" style="621" customWidth="1"/>
    <col min="7204" max="7204" width="11" style="621" customWidth="1"/>
    <col min="7205" max="7441" width="9.140625" style="621"/>
    <col min="7442" max="7442" width="21.42578125" style="621" customWidth="1"/>
    <col min="7443" max="7443" width="10.7109375" style="621" customWidth="1"/>
    <col min="7444" max="7445" width="9.85546875" style="621" customWidth="1"/>
    <col min="7446" max="7446" width="9.28515625" style="621" customWidth="1"/>
    <col min="7447" max="7447" width="10.140625" style="621" customWidth="1"/>
    <col min="7448" max="7448" width="10.85546875" style="621" customWidth="1"/>
    <col min="7449" max="7449" width="10.7109375" style="621" customWidth="1"/>
    <col min="7450" max="7450" width="11.28515625" style="621" customWidth="1"/>
    <col min="7451" max="7451" width="10.85546875" style="621" customWidth="1"/>
    <col min="7452" max="7452" width="9.85546875" style="621" customWidth="1"/>
    <col min="7453" max="7453" width="10.85546875" style="621" customWidth="1"/>
    <col min="7454" max="7454" width="10.140625" style="621" customWidth="1"/>
    <col min="7455" max="7455" width="11.5703125" style="621" customWidth="1"/>
    <col min="7456" max="7456" width="11.28515625" style="621" customWidth="1"/>
    <col min="7457" max="7457" width="9.5703125" style="621" customWidth="1"/>
    <col min="7458" max="7458" width="9.7109375" style="621" customWidth="1"/>
    <col min="7459" max="7459" width="10.7109375" style="621" customWidth="1"/>
    <col min="7460" max="7460" width="11" style="621" customWidth="1"/>
    <col min="7461" max="7697" width="9.140625" style="621"/>
    <col min="7698" max="7698" width="21.42578125" style="621" customWidth="1"/>
    <col min="7699" max="7699" width="10.7109375" style="621" customWidth="1"/>
    <col min="7700" max="7701" width="9.85546875" style="621" customWidth="1"/>
    <col min="7702" max="7702" width="9.28515625" style="621" customWidth="1"/>
    <col min="7703" max="7703" width="10.140625" style="621" customWidth="1"/>
    <col min="7704" max="7704" width="10.85546875" style="621" customWidth="1"/>
    <col min="7705" max="7705" width="10.7109375" style="621" customWidth="1"/>
    <col min="7706" max="7706" width="11.28515625" style="621" customWidth="1"/>
    <col min="7707" max="7707" width="10.85546875" style="621" customWidth="1"/>
    <col min="7708" max="7708" width="9.85546875" style="621" customWidth="1"/>
    <col min="7709" max="7709" width="10.85546875" style="621" customWidth="1"/>
    <col min="7710" max="7710" width="10.140625" style="621" customWidth="1"/>
    <col min="7711" max="7711" width="11.5703125" style="621" customWidth="1"/>
    <col min="7712" max="7712" width="11.28515625" style="621" customWidth="1"/>
    <col min="7713" max="7713" width="9.5703125" style="621" customWidth="1"/>
    <col min="7714" max="7714" width="9.7109375" style="621" customWidth="1"/>
    <col min="7715" max="7715" width="10.7109375" style="621" customWidth="1"/>
    <col min="7716" max="7716" width="11" style="621" customWidth="1"/>
    <col min="7717" max="7953" width="9.140625" style="621"/>
    <col min="7954" max="7954" width="21.42578125" style="621" customWidth="1"/>
    <col min="7955" max="7955" width="10.7109375" style="621" customWidth="1"/>
    <col min="7956" max="7957" width="9.85546875" style="621" customWidth="1"/>
    <col min="7958" max="7958" width="9.28515625" style="621" customWidth="1"/>
    <col min="7959" max="7959" width="10.140625" style="621" customWidth="1"/>
    <col min="7960" max="7960" width="10.85546875" style="621" customWidth="1"/>
    <col min="7961" max="7961" width="10.7109375" style="621" customWidth="1"/>
    <col min="7962" max="7962" width="11.28515625" style="621" customWidth="1"/>
    <col min="7963" max="7963" width="10.85546875" style="621" customWidth="1"/>
    <col min="7964" max="7964" width="9.85546875" style="621" customWidth="1"/>
    <col min="7965" max="7965" width="10.85546875" style="621" customWidth="1"/>
    <col min="7966" max="7966" width="10.140625" style="621" customWidth="1"/>
    <col min="7967" max="7967" width="11.5703125" style="621" customWidth="1"/>
    <col min="7968" max="7968" width="11.28515625" style="621" customWidth="1"/>
    <col min="7969" max="7969" width="9.5703125" style="621" customWidth="1"/>
    <col min="7970" max="7970" width="9.7109375" style="621" customWidth="1"/>
    <col min="7971" max="7971" width="10.7109375" style="621" customWidth="1"/>
    <col min="7972" max="7972" width="11" style="621" customWidth="1"/>
    <col min="7973" max="8209" width="9.140625" style="621"/>
    <col min="8210" max="8210" width="21.42578125" style="621" customWidth="1"/>
    <col min="8211" max="8211" width="10.7109375" style="621" customWidth="1"/>
    <col min="8212" max="8213" width="9.85546875" style="621" customWidth="1"/>
    <col min="8214" max="8214" width="9.28515625" style="621" customWidth="1"/>
    <col min="8215" max="8215" width="10.140625" style="621" customWidth="1"/>
    <col min="8216" max="8216" width="10.85546875" style="621" customWidth="1"/>
    <col min="8217" max="8217" width="10.7109375" style="621" customWidth="1"/>
    <col min="8218" max="8218" width="11.28515625" style="621" customWidth="1"/>
    <col min="8219" max="8219" width="10.85546875" style="621" customWidth="1"/>
    <col min="8220" max="8220" width="9.85546875" style="621" customWidth="1"/>
    <col min="8221" max="8221" width="10.85546875" style="621" customWidth="1"/>
    <col min="8222" max="8222" width="10.140625" style="621" customWidth="1"/>
    <col min="8223" max="8223" width="11.5703125" style="621" customWidth="1"/>
    <col min="8224" max="8224" width="11.28515625" style="621" customWidth="1"/>
    <col min="8225" max="8225" width="9.5703125" style="621" customWidth="1"/>
    <col min="8226" max="8226" width="9.7109375" style="621" customWidth="1"/>
    <col min="8227" max="8227" width="10.7109375" style="621" customWidth="1"/>
    <col min="8228" max="8228" width="11" style="621" customWidth="1"/>
    <col min="8229" max="8465" width="9.140625" style="621"/>
    <col min="8466" max="8466" width="21.42578125" style="621" customWidth="1"/>
    <col min="8467" max="8467" width="10.7109375" style="621" customWidth="1"/>
    <col min="8468" max="8469" width="9.85546875" style="621" customWidth="1"/>
    <col min="8470" max="8470" width="9.28515625" style="621" customWidth="1"/>
    <col min="8471" max="8471" width="10.140625" style="621" customWidth="1"/>
    <col min="8472" max="8472" width="10.85546875" style="621" customWidth="1"/>
    <col min="8473" max="8473" width="10.7109375" style="621" customWidth="1"/>
    <col min="8474" max="8474" width="11.28515625" style="621" customWidth="1"/>
    <col min="8475" max="8475" width="10.85546875" style="621" customWidth="1"/>
    <col min="8476" max="8476" width="9.85546875" style="621" customWidth="1"/>
    <col min="8477" max="8477" width="10.85546875" style="621" customWidth="1"/>
    <col min="8478" max="8478" width="10.140625" style="621" customWidth="1"/>
    <col min="8479" max="8479" width="11.5703125" style="621" customWidth="1"/>
    <col min="8480" max="8480" width="11.28515625" style="621" customWidth="1"/>
    <col min="8481" max="8481" width="9.5703125" style="621" customWidth="1"/>
    <col min="8482" max="8482" width="9.7109375" style="621" customWidth="1"/>
    <col min="8483" max="8483" width="10.7109375" style="621" customWidth="1"/>
    <col min="8484" max="8484" width="11" style="621" customWidth="1"/>
    <col min="8485" max="8721" width="9.140625" style="621"/>
    <col min="8722" max="8722" width="21.42578125" style="621" customWidth="1"/>
    <col min="8723" max="8723" width="10.7109375" style="621" customWidth="1"/>
    <col min="8724" max="8725" width="9.85546875" style="621" customWidth="1"/>
    <col min="8726" max="8726" width="9.28515625" style="621" customWidth="1"/>
    <col min="8727" max="8727" width="10.140625" style="621" customWidth="1"/>
    <col min="8728" max="8728" width="10.85546875" style="621" customWidth="1"/>
    <col min="8729" max="8729" width="10.7109375" style="621" customWidth="1"/>
    <col min="8730" max="8730" width="11.28515625" style="621" customWidth="1"/>
    <col min="8731" max="8731" width="10.85546875" style="621" customWidth="1"/>
    <col min="8732" max="8732" width="9.85546875" style="621" customWidth="1"/>
    <col min="8733" max="8733" width="10.85546875" style="621" customWidth="1"/>
    <col min="8734" max="8734" width="10.140625" style="621" customWidth="1"/>
    <col min="8735" max="8735" width="11.5703125" style="621" customWidth="1"/>
    <col min="8736" max="8736" width="11.28515625" style="621" customWidth="1"/>
    <col min="8737" max="8737" width="9.5703125" style="621" customWidth="1"/>
    <col min="8738" max="8738" width="9.7109375" style="621" customWidth="1"/>
    <col min="8739" max="8739" width="10.7109375" style="621" customWidth="1"/>
    <col min="8740" max="8740" width="11" style="621" customWidth="1"/>
    <col min="8741" max="8977" width="9.140625" style="621"/>
    <col min="8978" max="8978" width="21.42578125" style="621" customWidth="1"/>
    <col min="8979" max="8979" width="10.7109375" style="621" customWidth="1"/>
    <col min="8980" max="8981" width="9.85546875" style="621" customWidth="1"/>
    <col min="8982" max="8982" width="9.28515625" style="621" customWidth="1"/>
    <col min="8983" max="8983" width="10.140625" style="621" customWidth="1"/>
    <col min="8984" max="8984" width="10.85546875" style="621" customWidth="1"/>
    <col min="8985" max="8985" width="10.7109375" style="621" customWidth="1"/>
    <col min="8986" max="8986" width="11.28515625" style="621" customWidth="1"/>
    <col min="8987" max="8987" width="10.85546875" style="621" customWidth="1"/>
    <col min="8988" max="8988" width="9.85546875" style="621" customWidth="1"/>
    <col min="8989" max="8989" width="10.85546875" style="621" customWidth="1"/>
    <col min="8990" max="8990" width="10.140625" style="621" customWidth="1"/>
    <col min="8991" max="8991" width="11.5703125" style="621" customWidth="1"/>
    <col min="8992" max="8992" width="11.28515625" style="621" customWidth="1"/>
    <col min="8993" max="8993" width="9.5703125" style="621" customWidth="1"/>
    <col min="8994" max="8994" width="9.7109375" style="621" customWidth="1"/>
    <col min="8995" max="8995" width="10.7109375" style="621" customWidth="1"/>
    <col min="8996" max="8996" width="11" style="621" customWidth="1"/>
    <col min="8997" max="9233" width="9.140625" style="621"/>
    <col min="9234" max="9234" width="21.42578125" style="621" customWidth="1"/>
    <col min="9235" max="9235" width="10.7109375" style="621" customWidth="1"/>
    <col min="9236" max="9237" width="9.85546875" style="621" customWidth="1"/>
    <col min="9238" max="9238" width="9.28515625" style="621" customWidth="1"/>
    <col min="9239" max="9239" width="10.140625" style="621" customWidth="1"/>
    <col min="9240" max="9240" width="10.85546875" style="621" customWidth="1"/>
    <col min="9241" max="9241" width="10.7109375" style="621" customWidth="1"/>
    <col min="9242" max="9242" width="11.28515625" style="621" customWidth="1"/>
    <col min="9243" max="9243" width="10.85546875" style="621" customWidth="1"/>
    <col min="9244" max="9244" width="9.85546875" style="621" customWidth="1"/>
    <col min="9245" max="9245" width="10.85546875" style="621" customWidth="1"/>
    <col min="9246" max="9246" width="10.140625" style="621" customWidth="1"/>
    <col min="9247" max="9247" width="11.5703125" style="621" customWidth="1"/>
    <col min="9248" max="9248" width="11.28515625" style="621" customWidth="1"/>
    <col min="9249" max="9249" width="9.5703125" style="621" customWidth="1"/>
    <col min="9250" max="9250" width="9.7109375" style="621" customWidth="1"/>
    <col min="9251" max="9251" width="10.7109375" style="621" customWidth="1"/>
    <col min="9252" max="9252" width="11" style="621" customWidth="1"/>
    <col min="9253" max="9489" width="9.140625" style="621"/>
    <col min="9490" max="9490" width="21.42578125" style="621" customWidth="1"/>
    <col min="9491" max="9491" width="10.7109375" style="621" customWidth="1"/>
    <col min="9492" max="9493" width="9.85546875" style="621" customWidth="1"/>
    <col min="9494" max="9494" width="9.28515625" style="621" customWidth="1"/>
    <col min="9495" max="9495" width="10.140625" style="621" customWidth="1"/>
    <col min="9496" max="9496" width="10.85546875" style="621" customWidth="1"/>
    <col min="9497" max="9497" width="10.7109375" style="621" customWidth="1"/>
    <col min="9498" max="9498" width="11.28515625" style="621" customWidth="1"/>
    <col min="9499" max="9499" width="10.85546875" style="621" customWidth="1"/>
    <col min="9500" max="9500" width="9.85546875" style="621" customWidth="1"/>
    <col min="9501" max="9501" width="10.85546875" style="621" customWidth="1"/>
    <col min="9502" max="9502" width="10.140625" style="621" customWidth="1"/>
    <col min="9503" max="9503" width="11.5703125" style="621" customWidth="1"/>
    <col min="9504" max="9504" width="11.28515625" style="621" customWidth="1"/>
    <col min="9505" max="9505" width="9.5703125" style="621" customWidth="1"/>
    <col min="9506" max="9506" width="9.7109375" style="621" customWidth="1"/>
    <col min="9507" max="9507" width="10.7109375" style="621" customWidth="1"/>
    <col min="9508" max="9508" width="11" style="621" customWidth="1"/>
    <col min="9509" max="9745" width="9.140625" style="621"/>
    <col min="9746" max="9746" width="21.42578125" style="621" customWidth="1"/>
    <col min="9747" max="9747" width="10.7109375" style="621" customWidth="1"/>
    <col min="9748" max="9749" width="9.85546875" style="621" customWidth="1"/>
    <col min="9750" max="9750" width="9.28515625" style="621" customWidth="1"/>
    <col min="9751" max="9751" width="10.140625" style="621" customWidth="1"/>
    <col min="9752" max="9752" width="10.85546875" style="621" customWidth="1"/>
    <col min="9753" max="9753" width="10.7109375" style="621" customWidth="1"/>
    <col min="9754" max="9754" width="11.28515625" style="621" customWidth="1"/>
    <col min="9755" max="9755" width="10.85546875" style="621" customWidth="1"/>
    <col min="9756" max="9756" width="9.85546875" style="621" customWidth="1"/>
    <col min="9757" max="9757" width="10.85546875" style="621" customWidth="1"/>
    <col min="9758" max="9758" width="10.140625" style="621" customWidth="1"/>
    <col min="9759" max="9759" width="11.5703125" style="621" customWidth="1"/>
    <col min="9760" max="9760" width="11.28515625" style="621" customWidth="1"/>
    <col min="9761" max="9761" width="9.5703125" style="621" customWidth="1"/>
    <col min="9762" max="9762" width="9.7109375" style="621" customWidth="1"/>
    <col min="9763" max="9763" width="10.7109375" style="621" customWidth="1"/>
    <col min="9764" max="9764" width="11" style="621" customWidth="1"/>
    <col min="9765" max="10001" width="9.140625" style="621"/>
    <col min="10002" max="10002" width="21.42578125" style="621" customWidth="1"/>
    <col min="10003" max="10003" width="10.7109375" style="621" customWidth="1"/>
    <col min="10004" max="10005" width="9.85546875" style="621" customWidth="1"/>
    <col min="10006" max="10006" width="9.28515625" style="621" customWidth="1"/>
    <col min="10007" max="10007" width="10.140625" style="621" customWidth="1"/>
    <col min="10008" max="10008" width="10.85546875" style="621" customWidth="1"/>
    <col min="10009" max="10009" width="10.7109375" style="621" customWidth="1"/>
    <col min="10010" max="10010" width="11.28515625" style="621" customWidth="1"/>
    <col min="10011" max="10011" width="10.85546875" style="621" customWidth="1"/>
    <col min="10012" max="10012" width="9.85546875" style="621" customWidth="1"/>
    <col min="10013" max="10013" width="10.85546875" style="621" customWidth="1"/>
    <col min="10014" max="10014" width="10.140625" style="621" customWidth="1"/>
    <col min="10015" max="10015" width="11.5703125" style="621" customWidth="1"/>
    <col min="10016" max="10016" width="11.28515625" style="621" customWidth="1"/>
    <col min="10017" max="10017" width="9.5703125" style="621" customWidth="1"/>
    <col min="10018" max="10018" width="9.7109375" style="621" customWidth="1"/>
    <col min="10019" max="10019" width="10.7109375" style="621" customWidth="1"/>
    <col min="10020" max="10020" width="11" style="621" customWidth="1"/>
    <col min="10021" max="10257" width="9.140625" style="621"/>
    <col min="10258" max="10258" width="21.42578125" style="621" customWidth="1"/>
    <col min="10259" max="10259" width="10.7109375" style="621" customWidth="1"/>
    <col min="10260" max="10261" width="9.85546875" style="621" customWidth="1"/>
    <col min="10262" max="10262" width="9.28515625" style="621" customWidth="1"/>
    <col min="10263" max="10263" width="10.140625" style="621" customWidth="1"/>
    <col min="10264" max="10264" width="10.85546875" style="621" customWidth="1"/>
    <col min="10265" max="10265" width="10.7109375" style="621" customWidth="1"/>
    <col min="10266" max="10266" width="11.28515625" style="621" customWidth="1"/>
    <col min="10267" max="10267" width="10.85546875" style="621" customWidth="1"/>
    <col min="10268" max="10268" width="9.85546875" style="621" customWidth="1"/>
    <col min="10269" max="10269" width="10.85546875" style="621" customWidth="1"/>
    <col min="10270" max="10270" width="10.140625" style="621" customWidth="1"/>
    <col min="10271" max="10271" width="11.5703125" style="621" customWidth="1"/>
    <col min="10272" max="10272" width="11.28515625" style="621" customWidth="1"/>
    <col min="10273" max="10273" width="9.5703125" style="621" customWidth="1"/>
    <col min="10274" max="10274" width="9.7109375" style="621" customWidth="1"/>
    <col min="10275" max="10275" width="10.7109375" style="621" customWidth="1"/>
    <col min="10276" max="10276" width="11" style="621" customWidth="1"/>
    <col min="10277" max="10513" width="9.140625" style="621"/>
    <col min="10514" max="10514" width="21.42578125" style="621" customWidth="1"/>
    <col min="10515" max="10515" width="10.7109375" style="621" customWidth="1"/>
    <col min="10516" max="10517" width="9.85546875" style="621" customWidth="1"/>
    <col min="10518" max="10518" width="9.28515625" style="621" customWidth="1"/>
    <col min="10519" max="10519" width="10.140625" style="621" customWidth="1"/>
    <col min="10520" max="10520" width="10.85546875" style="621" customWidth="1"/>
    <col min="10521" max="10521" width="10.7109375" style="621" customWidth="1"/>
    <col min="10522" max="10522" width="11.28515625" style="621" customWidth="1"/>
    <col min="10523" max="10523" width="10.85546875" style="621" customWidth="1"/>
    <col min="10524" max="10524" width="9.85546875" style="621" customWidth="1"/>
    <col min="10525" max="10525" width="10.85546875" style="621" customWidth="1"/>
    <col min="10526" max="10526" width="10.140625" style="621" customWidth="1"/>
    <col min="10527" max="10527" width="11.5703125" style="621" customWidth="1"/>
    <col min="10528" max="10528" width="11.28515625" style="621" customWidth="1"/>
    <col min="10529" max="10529" width="9.5703125" style="621" customWidth="1"/>
    <col min="10530" max="10530" width="9.7109375" style="621" customWidth="1"/>
    <col min="10531" max="10531" width="10.7109375" style="621" customWidth="1"/>
    <col min="10532" max="10532" width="11" style="621" customWidth="1"/>
    <col min="10533" max="10769" width="9.140625" style="621"/>
    <col min="10770" max="10770" width="21.42578125" style="621" customWidth="1"/>
    <col min="10771" max="10771" width="10.7109375" style="621" customWidth="1"/>
    <col min="10772" max="10773" width="9.85546875" style="621" customWidth="1"/>
    <col min="10774" max="10774" width="9.28515625" style="621" customWidth="1"/>
    <col min="10775" max="10775" width="10.140625" style="621" customWidth="1"/>
    <col min="10776" max="10776" width="10.85546875" style="621" customWidth="1"/>
    <col min="10777" max="10777" width="10.7109375" style="621" customWidth="1"/>
    <col min="10778" max="10778" width="11.28515625" style="621" customWidth="1"/>
    <col min="10779" max="10779" width="10.85546875" style="621" customWidth="1"/>
    <col min="10780" max="10780" width="9.85546875" style="621" customWidth="1"/>
    <col min="10781" max="10781" width="10.85546875" style="621" customWidth="1"/>
    <col min="10782" max="10782" width="10.140625" style="621" customWidth="1"/>
    <col min="10783" max="10783" width="11.5703125" style="621" customWidth="1"/>
    <col min="10784" max="10784" width="11.28515625" style="621" customWidth="1"/>
    <col min="10785" max="10785" width="9.5703125" style="621" customWidth="1"/>
    <col min="10786" max="10786" width="9.7109375" style="621" customWidth="1"/>
    <col min="10787" max="10787" width="10.7109375" style="621" customWidth="1"/>
    <col min="10788" max="10788" width="11" style="621" customWidth="1"/>
    <col min="10789" max="11025" width="9.140625" style="621"/>
    <col min="11026" max="11026" width="21.42578125" style="621" customWidth="1"/>
    <col min="11027" max="11027" width="10.7109375" style="621" customWidth="1"/>
    <col min="11028" max="11029" width="9.85546875" style="621" customWidth="1"/>
    <col min="11030" max="11030" width="9.28515625" style="621" customWidth="1"/>
    <col min="11031" max="11031" width="10.140625" style="621" customWidth="1"/>
    <col min="11032" max="11032" width="10.85546875" style="621" customWidth="1"/>
    <col min="11033" max="11033" width="10.7109375" style="621" customWidth="1"/>
    <col min="11034" max="11034" width="11.28515625" style="621" customWidth="1"/>
    <col min="11035" max="11035" width="10.85546875" style="621" customWidth="1"/>
    <col min="11036" max="11036" width="9.85546875" style="621" customWidth="1"/>
    <col min="11037" max="11037" width="10.85546875" style="621" customWidth="1"/>
    <col min="11038" max="11038" width="10.140625" style="621" customWidth="1"/>
    <col min="11039" max="11039" width="11.5703125" style="621" customWidth="1"/>
    <col min="11040" max="11040" width="11.28515625" style="621" customWidth="1"/>
    <col min="11041" max="11041" width="9.5703125" style="621" customWidth="1"/>
    <col min="11042" max="11042" width="9.7109375" style="621" customWidth="1"/>
    <col min="11043" max="11043" width="10.7109375" style="621" customWidth="1"/>
    <col min="11044" max="11044" width="11" style="621" customWidth="1"/>
    <col min="11045" max="11281" width="9.140625" style="621"/>
    <col min="11282" max="11282" width="21.42578125" style="621" customWidth="1"/>
    <col min="11283" max="11283" width="10.7109375" style="621" customWidth="1"/>
    <col min="11284" max="11285" width="9.85546875" style="621" customWidth="1"/>
    <col min="11286" max="11286" width="9.28515625" style="621" customWidth="1"/>
    <col min="11287" max="11287" width="10.140625" style="621" customWidth="1"/>
    <col min="11288" max="11288" width="10.85546875" style="621" customWidth="1"/>
    <col min="11289" max="11289" width="10.7109375" style="621" customWidth="1"/>
    <col min="11290" max="11290" width="11.28515625" style="621" customWidth="1"/>
    <col min="11291" max="11291" width="10.85546875" style="621" customWidth="1"/>
    <col min="11292" max="11292" width="9.85546875" style="621" customWidth="1"/>
    <col min="11293" max="11293" width="10.85546875" style="621" customWidth="1"/>
    <col min="11294" max="11294" width="10.140625" style="621" customWidth="1"/>
    <col min="11295" max="11295" width="11.5703125" style="621" customWidth="1"/>
    <col min="11296" max="11296" width="11.28515625" style="621" customWidth="1"/>
    <col min="11297" max="11297" width="9.5703125" style="621" customWidth="1"/>
    <col min="11298" max="11298" width="9.7109375" style="621" customWidth="1"/>
    <col min="11299" max="11299" width="10.7109375" style="621" customWidth="1"/>
    <col min="11300" max="11300" width="11" style="621" customWidth="1"/>
    <col min="11301" max="11537" width="9.140625" style="621"/>
    <col min="11538" max="11538" width="21.42578125" style="621" customWidth="1"/>
    <col min="11539" max="11539" width="10.7109375" style="621" customWidth="1"/>
    <col min="11540" max="11541" width="9.85546875" style="621" customWidth="1"/>
    <col min="11542" max="11542" width="9.28515625" style="621" customWidth="1"/>
    <col min="11543" max="11543" width="10.140625" style="621" customWidth="1"/>
    <col min="11544" max="11544" width="10.85546875" style="621" customWidth="1"/>
    <col min="11545" max="11545" width="10.7109375" style="621" customWidth="1"/>
    <col min="11546" max="11546" width="11.28515625" style="621" customWidth="1"/>
    <col min="11547" max="11547" width="10.85546875" style="621" customWidth="1"/>
    <col min="11548" max="11548" width="9.85546875" style="621" customWidth="1"/>
    <col min="11549" max="11549" width="10.85546875" style="621" customWidth="1"/>
    <col min="11550" max="11550" width="10.140625" style="621" customWidth="1"/>
    <col min="11551" max="11551" width="11.5703125" style="621" customWidth="1"/>
    <col min="11552" max="11552" width="11.28515625" style="621" customWidth="1"/>
    <col min="11553" max="11553" width="9.5703125" style="621" customWidth="1"/>
    <col min="11554" max="11554" width="9.7109375" style="621" customWidth="1"/>
    <col min="11555" max="11555" width="10.7109375" style="621" customWidth="1"/>
    <col min="11556" max="11556" width="11" style="621" customWidth="1"/>
    <col min="11557" max="11793" width="9.140625" style="621"/>
    <col min="11794" max="11794" width="21.42578125" style="621" customWidth="1"/>
    <col min="11795" max="11795" width="10.7109375" style="621" customWidth="1"/>
    <col min="11796" max="11797" width="9.85546875" style="621" customWidth="1"/>
    <col min="11798" max="11798" width="9.28515625" style="621" customWidth="1"/>
    <col min="11799" max="11799" width="10.140625" style="621" customWidth="1"/>
    <col min="11800" max="11800" width="10.85546875" style="621" customWidth="1"/>
    <col min="11801" max="11801" width="10.7109375" style="621" customWidth="1"/>
    <col min="11802" max="11802" width="11.28515625" style="621" customWidth="1"/>
    <col min="11803" max="11803" width="10.85546875" style="621" customWidth="1"/>
    <col min="11804" max="11804" width="9.85546875" style="621" customWidth="1"/>
    <col min="11805" max="11805" width="10.85546875" style="621" customWidth="1"/>
    <col min="11806" max="11806" width="10.140625" style="621" customWidth="1"/>
    <col min="11807" max="11807" width="11.5703125" style="621" customWidth="1"/>
    <col min="11808" max="11808" width="11.28515625" style="621" customWidth="1"/>
    <col min="11809" max="11809" width="9.5703125" style="621" customWidth="1"/>
    <col min="11810" max="11810" width="9.7109375" style="621" customWidth="1"/>
    <col min="11811" max="11811" width="10.7109375" style="621" customWidth="1"/>
    <col min="11812" max="11812" width="11" style="621" customWidth="1"/>
    <col min="11813" max="12049" width="9.140625" style="621"/>
    <col min="12050" max="12050" width="21.42578125" style="621" customWidth="1"/>
    <col min="12051" max="12051" width="10.7109375" style="621" customWidth="1"/>
    <col min="12052" max="12053" width="9.85546875" style="621" customWidth="1"/>
    <col min="12054" max="12054" width="9.28515625" style="621" customWidth="1"/>
    <col min="12055" max="12055" width="10.140625" style="621" customWidth="1"/>
    <col min="12056" max="12056" width="10.85546875" style="621" customWidth="1"/>
    <col min="12057" max="12057" width="10.7109375" style="621" customWidth="1"/>
    <col min="12058" max="12058" width="11.28515625" style="621" customWidth="1"/>
    <col min="12059" max="12059" width="10.85546875" style="621" customWidth="1"/>
    <col min="12060" max="12060" width="9.85546875" style="621" customWidth="1"/>
    <col min="12061" max="12061" width="10.85546875" style="621" customWidth="1"/>
    <col min="12062" max="12062" width="10.140625" style="621" customWidth="1"/>
    <col min="12063" max="12063" width="11.5703125" style="621" customWidth="1"/>
    <col min="12064" max="12064" width="11.28515625" style="621" customWidth="1"/>
    <col min="12065" max="12065" width="9.5703125" style="621" customWidth="1"/>
    <col min="12066" max="12066" width="9.7109375" style="621" customWidth="1"/>
    <col min="12067" max="12067" width="10.7109375" style="621" customWidth="1"/>
    <col min="12068" max="12068" width="11" style="621" customWidth="1"/>
    <col min="12069" max="12305" width="9.140625" style="621"/>
    <col min="12306" max="12306" width="21.42578125" style="621" customWidth="1"/>
    <col min="12307" max="12307" width="10.7109375" style="621" customWidth="1"/>
    <col min="12308" max="12309" width="9.85546875" style="621" customWidth="1"/>
    <col min="12310" max="12310" width="9.28515625" style="621" customWidth="1"/>
    <col min="12311" max="12311" width="10.140625" style="621" customWidth="1"/>
    <col min="12312" max="12312" width="10.85546875" style="621" customWidth="1"/>
    <col min="12313" max="12313" width="10.7109375" style="621" customWidth="1"/>
    <col min="12314" max="12314" width="11.28515625" style="621" customWidth="1"/>
    <col min="12315" max="12315" width="10.85546875" style="621" customWidth="1"/>
    <col min="12316" max="12316" width="9.85546875" style="621" customWidth="1"/>
    <col min="12317" max="12317" width="10.85546875" style="621" customWidth="1"/>
    <col min="12318" max="12318" width="10.140625" style="621" customWidth="1"/>
    <col min="12319" max="12319" width="11.5703125" style="621" customWidth="1"/>
    <col min="12320" max="12320" width="11.28515625" style="621" customWidth="1"/>
    <col min="12321" max="12321" width="9.5703125" style="621" customWidth="1"/>
    <col min="12322" max="12322" width="9.7109375" style="621" customWidth="1"/>
    <col min="12323" max="12323" width="10.7109375" style="621" customWidth="1"/>
    <col min="12324" max="12324" width="11" style="621" customWidth="1"/>
    <col min="12325" max="12561" width="9.140625" style="621"/>
    <col min="12562" max="12562" width="21.42578125" style="621" customWidth="1"/>
    <col min="12563" max="12563" width="10.7109375" style="621" customWidth="1"/>
    <col min="12564" max="12565" width="9.85546875" style="621" customWidth="1"/>
    <col min="12566" max="12566" width="9.28515625" style="621" customWidth="1"/>
    <col min="12567" max="12567" width="10.140625" style="621" customWidth="1"/>
    <col min="12568" max="12568" width="10.85546875" style="621" customWidth="1"/>
    <col min="12569" max="12569" width="10.7109375" style="621" customWidth="1"/>
    <col min="12570" max="12570" width="11.28515625" style="621" customWidth="1"/>
    <col min="12571" max="12571" width="10.85546875" style="621" customWidth="1"/>
    <col min="12572" max="12572" width="9.85546875" style="621" customWidth="1"/>
    <col min="12573" max="12573" width="10.85546875" style="621" customWidth="1"/>
    <col min="12574" max="12574" width="10.140625" style="621" customWidth="1"/>
    <col min="12575" max="12575" width="11.5703125" style="621" customWidth="1"/>
    <col min="12576" max="12576" width="11.28515625" style="621" customWidth="1"/>
    <col min="12577" max="12577" width="9.5703125" style="621" customWidth="1"/>
    <col min="12578" max="12578" width="9.7109375" style="621" customWidth="1"/>
    <col min="12579" max="12579" width="10.7109375" style="621" customWidth="1"/>
    <col min="12580" max="12580" width="11" style="621" customWidth="1"/>
    <col min="12581" max="12817" width="9.140625" style="621"/>
    <col min="12818" max="12818" width="21.42578125" style="621" customWidth="1"/>
    <col min="12819" max="12819" width="10.7109375" style="621" customWidth="1"/>
    <col min="12820" max="12821" width="9.85546875" style="621" customWidth="1"/>
    <col min="12822" max="12822" width="9.28515625" style="621" customWidth="1"/>
    <col min="12823" max="12823" width="10.140625" style="621" customWidth="1"/>
    <col min="12824" max="12824" width="10.85546875" style="621" customWidth="1"/>
    <col min="12825" max="12825" width="10.7109375" style="621" customWidth="1"/>
    <col min="12826" max="12826" width="11.28515625" style="621" customWidth="1"/>
    <col min="12827" max="12827" width="10.85546875" style="621" customWidth="1"/>
    <col min="12828" max="12828" width="9.85546875" style="621" customWidth="1"/>
    <col min="12829" max="12829" width="10.85546875" style="621" customWidth="1"/>
    <col min="12830" max="12830" width="10.140625" style="621" customWidth="1"/>
    <col min="12831" max="12831" width="11.5703125" style="621" customWidth="1"/>
    <col min="12832" max="12832" width="11.28515625" style="621" customWidth="1"/>
    <col min="12833" max="12833" width="9.5703125" style="621" customWidth="1"/>
    <col min="12834" max="12834" width="9.7109375" style="621" customWidth="1"/>
    <col min="12835" max="12835" width="10.7109375" style="621" customWidth="1"/>
    <col min="12836" max="12836" width="11" style="621" customWidth="1"/>
    <col min="12837" max="13073" width="9.140625" style="621"/>
    <col min="13074" max="13074" width="21.42578125" style="621" customWidth="1"/>
    <col min="13075" max="13075" width="10.7109375" style="621" customWidth="1"/>
    <col min="13076" max="13077" width="9.85546875" style="621" customWidth="1"/>
    <col min="13078" max="13078" width="9.28515625" style="621" customWidth="1"/>
    <col min="13079" max="13079" width="10.140625" style="621" customWidth="1"/>
    <col min="13080" max="13080" width="10.85546875" style="621" customWidth="1"/>
    <col min="13081" max="13081" width="10.7109375" style="621" customWidth="1"/>
    <col min="13082" max="13082" width="11.28515625" style="621" customWidth="1"/>
    <col min="13083" max="13083" width="10.85546875" style="621" customWidth="1"/>
    <col min="13084" max="13084" width="9.85546875" style="621" customWidth="1"/>
    <col min="13085" max="13085" width="10.85546875" style="621" customWidth="1"/>
    <col min="13086" max="13086" width="10.140625" style="621" customWidth="1"/>
    <col min="13087" max="13087" width="11.5703125" style="621" customWidth="1"/>
    <col min="13088" max="13088" width="11.28515625" style="621" customWidth="1"/>
    <col min="13089" max="13089" width="9.5703125" style="621" customWidth="1"/>
    <col min="13090" max="13090" width="9.7109375" style="621" customWidth="1"/>
    <col min="13091" max="13091" width="10.7109375" style="621" customWidth="1"/>
    <col min="13092" max="13092" width="11" style="621" customWidth="1"/>
    <col min="13093" max="13329" width="9.140625" style="621"/>
    <col min="13330" max="13330" width="21.42578125" style="621" customWidth="1"/>
    <col min="13331" max="13331" width="10.7109375" style="621" customWidth="1"/>
    <col min="13332" max="13333" width="9.85546875" style="621" customWidth="1"/>
    <col min="13334" max="13334" width="9.28515625" style="621" customWidth="1"/>
    <col min="13335" max="13335" width="10.140625" style="621" customWidth="1"/>
    <col min="13336" max="13336" width="10.85546875" style="621" customWidth="1"/>
    <col min="13337" max="13337" width="10.7109375" style="621" customWidth="1"/>
    <col min="13338" max="13338" width="11.28515625" style="621" customWidth="1"/>
    <col min="13339" max="13339" width="10.85546875" style="621" customWidth="1"/>
    <col min="13340" max="13340" width="9.85546875" style="621" customWidth="1"/>
    <col min="13341" max="13341" width="10.85546875" style="621" customWidth="1"/>
    <col min="13342" max="13342" width="10.140625" style="621" customWidth="1"/>
    <col min="13343" max="13343" width="11.5703125" style="621" customWidth="1"/>
    <col min="13344" max="13344" width="11.28515625" style="621" customWidth="1"/>
    <col min="13345" max="13345" width="9.5703125" style="621" customWidth="1"/>
    <col min="13346" max="13346" width="9.7109375" style="621" customWidth="1"/>
    <col min="13347" max="13347" width="10.7109375" style="621" customWidth="1"/>
    <col min="13348" max="13348" width="11" style="621" customWidth="1"/>
    <col min="13349" max="13585" width="9.140625" style="621"/>
    <col min="13586" max="13586" width="21.42578125" style="621" customWidth="1"/>
    <col min="13587" max="13587" width="10.7109375" style="621" customWidth="1"/>
    <col min="13588" max="13589" width="9.85546875" style="621" customWidth="1"/>
    <col min="13590" max="13590" width="9.28515625" style="621" customWidth="1"/>
    <col min="13591" max="13591" width="10.140625" style="621" customWidth="1"/>
    <col min="13592" max="13592" width="10.85546875" style="621" customWidth="1"/>
    <col min="13593" max="13593" width="10.7109375" style="621" customWidth="1"/>
    <col min="13594" max="13594" width="11.28515625" style="621" customWidth="1"/>
    <col min="13595" max="13595" width="10.85546875" style="621" customWidth="1"/>
    <col min="13596" max="13596" width="9.85546875" style="621" customWidth="1"/>
    <col min="13597" max="13597" width="10.85546875" style="621" customWidth="1"/>
    <col min="13598" max="13598" width="10.140625" style="621" customWidth="1"/>
    <col min="13599" max="13599" width="11.5703125" style="621" customWidth="1"/>
    <col min="13600" max="13600" width="11.28515625" style="621" customWidth="1"/>
    <col min="13601" max="13601" width="9.5703125" style="621" customWidth="1"/>
    <col min="13602" max="13602" width="9.7109375" style="621" customWidth="1"/>
    <col min="13603" max="13603" width="10.7109375" style="621" customWidth="1"/>
    <col min="13604" max="13604" width="11" style="621" customWidth="1"/>
    <col min="13605" max="13841" width="9.140625" style="621"/>
    <col min="13842" max="13842" width="21.42578125" style="621" customWidth="1"/>
    <col min="13843" max="13843" width="10.7109375" style="621" customWidth="1"/>
    <col min="13844" max="13845" width="9.85546875" style="621" customWidth="1"/>
    <col min="13846" max="13846" width="9.28515625" style="621" customWidth="1"/>
    <col min="13847" max="13847" width="10.140625" style="621" customWidth="1"/>
    <col min="13848" max="13848" width="10.85546875" style="621" customWidth="1"/>
    <col min="13849" max="13849" width="10.7109375" style="621" customWidth="1"/>
    <col min="13850" max="13850" width="11.28515625" style="621" customWidth="1"/>
    <col min="13851" max="13851" width="10.85546875" style="621" customWidth="1"/>
    <col min="13852" max="13852" width="9.85546875" style="621" customWidth="1"/>
    <col min="13853" max="13853" width="10.85546875" style="621" customWidth="1"/>
    <col min="13854" max="13854" width="10.140625" style="621" customWidth="1"/>
    <col min="13855" max="13855" width="11.5703125" style="621" customWidth="1"/>
    <col min="13856" max="13856" width="11.28515625" style="621" customWidth="1"/>
    <col min="13857" max="13857" width="9.5703125" style="621" customWidth="1"/>
    <col min="13858" max="13858" width="9.7109375" style="621" customWidth="1"/>
    <col min="13859" max="13859" width="10.7109375" style="621" customWidth="1"/>
    <col min="13860" max="13860" width="11" style="621" customWidth="1"/>
    <col min="13861" max="14097" width="9.140625" style="621"/>
    <col min="14098" max="14098" width="21.42578125" style="621" customWidth="1"/>
    <col min="14099" max="14099" width="10.7109375" style="621" customWidth="1"/>
    <col min="14100" max="14101" width="9.85546875" style="621" customWidth="1"/>
    <col min="14102" max="14102" width="9.28515625" style="621" customWidth="1"/>
    <col min="14103" max="14103" width="10.140625" style="621" customWidth="1"/>
    <col min="14104" max="14104" width="10.85546875" style="621" customWidth="1"/>
    <col min="14105" max="14105" width="10.7109375" style="621" customWidth="1"/>
    <col min="14106" max="14106" width="11.28515625" style="621" customWidth="1"/>
    <col min="14107" max="14107" width="10.85546875" style="621" customWidth="1"/>
    <col min="14108" max="14108" width="9.85546875" style="621" customWidth="1"/>
    <col min="14109" max="14109" width="10.85546875" style="621" customWidth="1"/>
    <col min="14110" max="14110" width="10.140625" style="621" customWidth="1"/>
    <col min="14111" max="14111" width="11.5703125" style="621" customWidth="1"/>
    <col min="14112" max="14112" width="11.28515625" style="621" customWidth="1"/>
    <col min="14113" max="14113" width="9.5703125" style="621" customWidth="1"/>
    <col min="14114" max="14114" width="9.7109375" style="621" customWidth="1"/>
    <col min="14115" max="14115" width="10.7109375" style="621" customWidth="1"/>
    <col min="14116" max="14116" width="11" style="621" customWidth="1"/>
    <col min="14117" max="14353" width="9.140625" style="621"/>
    <col min="14354" max="14354" width="21.42578125" style="621" customWidth="1"/>
    <col min="14355" max="14355" width="10.7109375" style="621" customWidth="1"/>
    <col min="14356" max="14357" width="9.85546875" style="621" customWidth="1"/>
    <col min="14358" max="14358" width="9.28515625" style="621" customWidth="1"/>
    <col min="14359" max="14359" width="10.140625" style="621" customWidth="1"/>
    <col min="14360" max="14360" width="10.85546875" style="621" customWidth="1"/>
    <col min="14361" max="14361" width="10.7109375" style="621" customWidth="1"/>
    <col min="14362" max="14362" width="11.28515625" style="621" customWidth="1"/>
    <col min="14363" max="14363" width="10.85546875" style="621" customWidth="1"/>
    <col min="14364" max="14364" width="9.85546875" style="621" customWidth="1"/>
    <col min="14365" max="14365" width="10.85546875" style="621" customWidth="1"/>
    <col min="14366" max="14366" width="10.140625" style="621" customWidth="1"/>
    <col min="14367" max="14367" width="11.5703125" style="621" customWidth="1"/>
    <col min="14368" max="14368" width="11.28515625" style="621" customWidth="1"/>
    <col min="14369" max="14369" width="9.5703125" style="621" customWidth="1"/>
    <col min="14370" max="14370" width="9.7109375" style="621" customWidth="1"/>
    <col min="14371" max="14371" width="10.7109375" style="621" customWidth="1"/>
    <col min="14372" max="14372" width="11" style="621" customWidth="1"/>
    <col min="14373" max="14609" width="9.140625" style="621"/>
    <col min="14610" max="14610" width="21.42578125" style="621" customWidth="1"/>
    <col min="14611" max="14611" width="10.7109375" style="621" customWidth="1"/>
    <col min="14612" max="14613" width="9.85546875" style="621" customWidth="1"/>
    <col min="14614" max="14614" width="9.28515625" style="621" customWidth="1"/>
    <col min="14615" max="14615" width="10.140625" style="621" customWidth="1"/>
    <col min="14616" max="14616" width="10.85546875" style="621" customWidth="1"/>
    <col min="14617" max="14617" width="10.7109375" style="621" customWidth="1"/>
    <col min="14618" max="14618" width="11.28515625" style="621" customWidth="1"/>
    <col min="14619" max="14619" width="10.85546875" style="621" customWidth="1"/>
    <col min="14620" max="14620" width="9.85546875" style="621" customWidth="1"/>
    <col min="14621" max="14621" width="10.85546875" style="621" customWidth="1"/>
    <col min="14622" max="14622" width="10.140625" style="621" customWidth="1"/>
    <col min="14623" max="14623" width="11.5703125" style="621" customWidth="1"/>
    <col min="14624" max="14624" width="11.28515625" style="621" customWidth="1"/>
    <col min="14625" max="14625" width="9.5703125" style="621" customWidth="1"/>
    <col min="14626" max="14626" width="9.7109375" style="621" customWidth="1"/>
    <col min="14627" max="14627" width="10.7109375" style="621" customWidth="1"/>
    <col min="14628" max="14628" width="11" style="621" customWidth="1"/>
    <col min="14629" max="14865" width="9.140625" style="621"/>
    <col min="14866" max="14866" width="21.42578125" style="621" customWidth="1"/>
    <col min="14867" max="14867" width="10.7109375" style="621" customWidth="1"/>
    <col min="14868" max="14869" width="9.85546875" style="621" customWidth="1"/>
    <col min="14870" max="14870" width="9.28515625" style="621" customWidth="1"/>
    <col min="14871" max="14871" width="10.140625" style="621" customWidth="1"/>
    <col min="14872" max="14872" width="10.85546875" style="621" customWidth="1"/>
    <col min="14873" max="14873" width="10.7109375" style="621" customWidth="1"/>
    <col min="14874" max="14874" width="11.28515625" style="621" customWidth="1"/>
    <col min="14875" max="14875" width="10.85546875" style="621" customWidth="1"/>
    <col min="14876" max="14876" width="9.85546875" style="621" customWidth="1"/>
    <col min="14877" max="14877" width="10.85546875" style="621" customWidth="1"/>
    <col min="14878" max="14878" width="10.140625" style="621" customWidth="1"/>
    <col min="14879" max="14879" width="11.5703125" style="621" customWidth="1"/>
    <col min="14880" max="14880" width="11.28515625" style="621" customWidth="1"/>
    <col min="14881" max="14881" width="9.5703125" style="621" customWidth="1"/>
    <col min="14882" max="14882" width="9.7109375" style="621" customWidth="1"/>
    <col min="14883" max="14883" width="10.7109375" style="621" customWidth="1"/>
    <col min="14884" max="14884" width="11" style="621" customWidth="1"/>
    <col min="14885" max="15121" width="9.140625" style="621"/>
    <col min="15122" max="15122" width="21.42578125" style="621" customWidth="1"/>
    <col min="15123" max="15123" width="10.7109375" style="621" customWidth="1"/>
    <col min="15124" max="15125" width="9.85546875" style="621" customWidth="1"/>
    <col min="15126" max="15126" width="9.28515625" style="621" customWidth="1"/>
    <col min="15127" max="15127" width="10.140625" style="621" customWidth="1"/>
    <col min="15128" max="15128" width="10.85546875" style="621" customWidth="1"/>
    <col min="15129" max="15129" width="10.7109375" style="621" customWidth="1"/>
    <col min="15130" max="15130" width="11.28515625" style="621" customWidth="1"/>
    <col min="15131" max="15131" width="10.85546875" style="621" customWidth="1"/>
    <col min="15132" max="15132" width="9.85546875" style="621" customWidth="1"/>
    <col min="15133" max="15133" width="10.85546875" style="621" customWidth="1"/>
    <col min="15134" max="15134" width="10.140625" style="621" customWidth="1"/>
    <col min="15135" max="15135" width="11.5703125" style="621" customWidth="1"/>
    <col min="15136" max="15136" width="11.28515625" style="621" customWidth="1"/>
    <col min="15137" max="15137" width="9.5703125" style="621" customWidth="1"/>
    <col min="15138" max="15138" width="9.7109375" style="621" customWidth="1"/>
    <col min="15139" max="15139" width="10.7109375" style="621" customWidth="1"/>
    <col min="15140" max="15140" width="11" style="621" customWidth="1"/>
    <col min="15141" max="15377" width="9.140625" style="621"/>
    <col min="15378" max="15378" width="21.42578125" style="621" customWidth="1"/>
    <col min="15379" max="15379" width="10.7109375" style="621" customWidth="1"/>
    <col min="15380" max="15381" width="9.85546875" style="621" customWidth="1"/>
    <col min="15382" max="15382" width="9.28515625" style="621" customWidth="1"/>
    <col min="15383" max="15383" width="10.140625" style="621" customWidth="1"/>
    <col min="15384" max="15384" width="10.85546875" style="621" customWidth="1"/>
    <col min="15385" max="15385" width="10.7109375" style="621" customWidth="1"/>
    <col min="15386" max="15386" width="11.28515625" style="621" customWidth="1"/>
    <col min="15387" max="15387" width="10.85546875" style="621" customWidth="1"/>
    <col min="15388" max="15388" width="9.85546875" style="621" customWidth="1"/>
    <col min="15389" max="15389" width="10.85546875" style="621" customWidth="1"/>
    <col min="15390" max="15390" width="10.140625" style="621" customWidth="1"/>
    <col min="15391" max="15391" width="11.5703125" style="621" customWidth="1"/>
    <col min="15392" max="15392" width="11.28515625" style="621" customWidth="1"/>
    <col min="15393" max="15393" width="9.5703125" style="621" customWidth="1"/>
    <col min="15394" max="15394" width="9.7109375" style="621" customWidth="1"/>
    <col min="15395" max="15395" width="10.7109375" style="621" customWidth="1"/>
    <col min="15396" max="15396" width="11" style="621" customWidth="1"/>
    <col min="15397" max="15633" width="9.140625" style="621"/>
    <col min="15634" max="15634" width="21.42578125" style="621" customWidth="1"/>
    <col min="15635" max="15635" width="10.7109375" style="621" customWidth="1"/>
    <col min="15636" max="15637" width="9.85546875" style="621" customWidth="1"/>
    <col min="15638" max="15638" width="9.28515625" style="621" customWidth="1"/>
    <col min="15639" max="15639" width="10.140625" style="621" customWidth="1"/>
    <col min="15640" max="15640" width="10.85546875" style="621" customWidth="1"/>
    <col min="15641" max="15641" width="10.7109375" style="621" customWidth="1"/>
    <col min="15642" max="15642" width="11.28515625" style="621" customWidth="1"/>
    <col min="15643" max="15643" width="10.85546875" style="621" customWidth="1"/>
    <col min="15644" max="15644" width="9.85546875" style="621" customWidth="1"/>
    <col min="15645" max="15645" width="10.85546875" style="621" customWidth="1"/>
    <col min="15646" max="15646" width="10.140625" style="621" customWidth="1"/>
    <col min="15647" max="15647" width="11.5703125" style="621" customWidth="1"/>
    <col min="15648" max="15648" width="11.28515625" style="621" customWidth="1"/>
    <col min="15649" max="15649" width="9.5703125" style="621" customWidth="1"/>
    <col min="15650" max="15650" width="9.7109375" style="621" customWidth="1"/>
    <col min="15651" max="15651" width="10.7109375" style="621" customWidth="1"/>
    <col min="15652" max="15652" width="11" style="621" customWidth="1"/>
    <col min="15653" max="15889" width="9.140625" style="621"/>
    <col min="15890" max="15890" width="21.42578125" style="621" customWidth="1"/>
    <col min="15891" max="15891" width="10.7109375" style="621" customWidth="1"/>
    <col min="15892" max="15893" width="9.85546875" style="621" customWidth="1"/>
    <col min="15894" max="15894" width="9.28515625" style="621" customWidth="1"/>
    <col min="15895" max="15895" width="10.140625" style="621" customWidth="1"/>
    <col min="15896" max="15896" width="10.85546875" style="621" customWidth="1"/>
    <col min="15897" max="15897" width="10.7109375" style="621" customWidth="1"/>
    <col min="15898" max="15898" width="11.28515625" style="621" customWidth="1"/>
    <col min="15899" max="15899" width="10.85546875" style="621" customWidth="1"/>
    <col min="15900" max="15900" width="9.85546875" style="621" customWidth="1"/>
    <col min="15901" max="15901" width="10.85546875" style="621" customWidth="1"/>
    <col min="15902" max="15902" width="10.140625" style="621" customWidth="1"/>
    <col min="15903" max="15903" width="11.5703125" style="621" customWidth="1"/>
    <col min="15904" max="15904" width="11.28515625" style="621" customWidth="1"/>
    <col min="15905" max="15905" width="9.5703125" style="621" customWidth="1"/>
    <col min="15906" max="15906" width="9.7109375" style="621" customWidth="1"/>
    <col min="15907" max="15907" width="10.7109375" style="621" customWidth="1"/>
    <col min="15908" max="15908" width="11" style="621" customWidth="1"/>
    <col min="15909" max="16145" width="9.140625" style="621"/>
    <col min="16146" max="16146" width="21.42578125" style="621" customWidth="1"/>
    <col min="16147" max="16147" width="10.7109375" style="621" customWidth="1"/>
    <col min="16148" max="16149" width="9.85546875" style="621" customWidth="1"/>
    <col min="16150" max="16150" width="9.28515625" style="621" customWidth="1"/>
    <col min="16151" max="16151" width="10.140625" style="621" customWidth="1"/>
    <col min="16152" max="16152" width="10.85546875" style="621" customWidth="1"/>
    <col min="16153" max="16153" width="10.7109375" style="621" customWidth="1"/>
    <col min="16154" max="16154" width="11.28515625" style="621" customWidth="1"/>
    <col min="16155" max="16155" width="10.85546875" style="621" customWidth="1"/>
    <col min="16156" max="16156" width="9.85546875" style="621" customWidth="1"/>
    <col min="16157" max="16157" width="10.85546875" style="621" customWidth="1"/>
    <col min="16158" max="16158" width="10.140625" style="621" customWidth="1"/>
    <col min="16159" max="16159" width="11.5703125" style="621" customWidth="1"/>
    <col min="16160" max="16160" width="11.28515625" style="621" customWidth="1"/>
    <col min="16161" max="16161" width="9.5703125" style="621" customWidth="1"/>
    <col min="16162" max="16162" width="9.7109375" style="621" customWidth="1"/>
    <col min="16163" max="16163" width="10.7109375" style="621" customWidth="1"/>
    <col min="16164" max="16164" width="11" style="621" customWidth="1"/>
    <col min="16165" max="16384" width="9.140625" style="621"/>
  </cols>
  <sheetData>
    <row r="1" spans="1:298" ht="15.6" x14ac:dyDescent="0.3">
      <c r="A1" s="611"/>
      <c r="B1" s="612"/>
      <c r="C1" s="613"/>
      <c r="D1" s="613"/>
      <c r="E1" s="613"/>
      <c r="F1" s="613"/>
      <c r="G1" s="613"/>
      <c r="H1" s="614"/>
      <c r="I1" s="615"/>
      <c r="J1" s="615"/>
      <c r="K1" s="615"/>
      <c r="L1" s="615"/>
      <c r="M1" s="615"/>
      <c r="N1" s="615"/>
      <c r="O1" s="615"/>
      <c r="P1" s="1130"/>
      <c r="Q1" s="1130"/>
      <c r="R1" s="1130"/>
      <c r="S1" s="616"/>
      <c r="T1" s="616"/>
      <c r="U1" s="616"/>
      <c r="V1" s="616"/>
      <c r="W1" s="616"/>
      <c r="X1" s="616"/>
      <c r="Y1" s="616"/>
      <c r="Z1" s="616"/>
      <c r="AA1" s="616"/>
      <c r="AB1" s="616"/>
      <c r="AC1" s="616"/>
      <c r="AD1" s="616"/>
      <c r="AE1" s="616"/>
      <c r="AF1" s="616"/>
      <c r="AG1" s="616"/>
      <c r="AH1" s="616"/>
      <c r="AK1" s="618"/>
    </row>
    <row r="2" spans="1:298" ht="25.5" x14ac:dyDescent="0.35">
      <c r="A2" s="611"/>
      <c r="B2" s="1131" t="s">
        <v>1859</v>
      </c>
      <c r="C2" s="1131"/>
      <c r="D2" s="1131"/>
      <c r="E2" s="1131"/>
      <c r="F2" s="1131"/>
      <c r="G2" s="1131"/>
      <c r="H2" s="1131"/>
      <c r="I2" s="1131"/>
      <c r="J2" s="1131"/>
      <c r="K2" s="1131"/>
      <c r="L2" s="1131"/>
      <c r="M2" s="1131"/>
      <c r="N2" s="1131"/>
      <c r="O2" s="1131"/>
      <c r="P2" s="1131"/>
      <c r="Q2" s="1131"/>
      <c r="R2" s="1131"/>
      <c r="S2" s="1131"/>
      <c r="T2" s="1131"/>
      <c r="U2" s="1131"/>
      <c r="V2" s="1131"/>
      <c r="W2" s="1131"/>
      <c r="X2" s="1131"/>
      <c r="Y2" s="1131"/>
      <c r="Z2" s="1131"/>
      <c r="AA2" s="1131"/>
      <c r="AB2" s="1131"/>
      <c r="AC2" s="1131"/>
      <c r="AD2" s="1131"/>
      <c r="AE2" s="1131"/>
      <c r="AF2" s="1131"/>
      <c r="AG2" s="1131"/>
      <c r="AH2" s="1131"/>
      <c r="AI2" s="1131"/>
      <c r="AJ2" s="1131"/>
      <c r="AK2" s="1131"/>
    </row>
    <row r="3" spans="1:298" ht="22.9" x14ac:dyDescent="0.4">
      <c r="A3" s="611"/>
      <c r="B3" s="1132" t="str">
        <f>DG!B5</f>
        <v xml:space="preserve"> ‘’ Consolidare și reabilitare imobil locuințe bloc nr. 25, str. Dealului nr. 11, Municipiul Sfântu Gheorghe, Județul Covasna‘’
FAZA :  D.A.L.I. - scenariul recomandat 
</v>
      </c>
      <c r="C3" s="1132"/>
      <c r="D3" s="1132"/>
      <c r="E3" s="1132"/>
      <c r="F3" s="1132"/>
      <c r="G3" s="1132"/>
      <c r="H3" s="1132"/>
      <c r="I3" s="1132"/>
      <c r="J3" s="1132"/>
      <c r="K3" s="1132"/>
      <c r="L3" s="1132"/>
      <c r="M3" s="1132"/>
      <c r="N3" s="1132"/>
      <c r="O3" s="1132"/>
      <c r="P3" s="1132"/>
      <c r="Q3" s="1132"/>
      <c r="R3" s="1132"/>
      <c r="S3" s="1132"/>
      <c r="T3" s="1132"/>
      <c r="U3" s="1132"/>
      <c r="V3" s="1132"/>
      <c r="W3" s="1132"/>
      <c r="X3" s="1132"/>
      <c r="Y3" s="1132"/>
      <c r="Z3" s="1132"/>
      <c r="AA3" s="1132"/>
      <c r="AB3" s="1132"/>
      <c r="AC3" s="1132"/>
      <c r="AD3" s="1132"/>
      <c r="AE3" s="1132"/>
      <c r="AF3" s="1132"/>
      <c r="AG3" s="1132"/>
      <c r="AH3" s="1132"/>
      <c r="AI3" s="1132"/>
      <c r="AJ3" s="1132"/>
      <c r="AK3" s="1132"/>
    </row>
    <row r="4" spans="1:298" ht="17.45" x14ac:dyDescent="0.3">
      <c r="A4" s="611"/>
      <c r="B4" s="1133"/>
      <c r="C4" s="1134"/>
      <c r="D4" s="1134"/>
      <c r="E4" s="1134"/>
      <c r="F4" s="1134"/>
      <c r="G4" s="1134"/>
      <c r="H4" s="1134"/>
      <c r="I4" s="1134"/>
      <c r="J4" s="1134"/>
      <c r="K4" s="1134"/>
      <c r="L4" s="1134"/>
      <c r="M4" s="1134"/>
      <c r="N4" s="1134"/>
      <c r="O4" s="1134"/>
      <c r="P4" s="1134"/>
      <c r="Q4" s="1134"/>
      <c r="R4" s="1134"/>
      <c r="S4" s="1134"/>
      <c r="T4" s="1134"/>
      <c r="U4" s="1134"/>
      <c r="V4" s="1134"/>
      <c r="W4" s="1134"/>
      <c r="X4" s="1134"/>
      <c r="Y4" s="1134"/>
      <c r="Z4" s="1134"/>
      <c r="AA4" s="1134"/>
      <c r="AB4" s="1134"/>
      <c r="AC4" s="1134"/>
      <c r="AD4" s="1134"/>
      <c r="AE4" s="1134"/>
      <c r="AF4" s="1134"/>
      <c r="AG4" s="1134"/>
      <c r="AH4" s="1134"/>
      <c r="AI4" s="1134"/>
      <c r="AJ4" s="1134"/>
      <c r="AK4" s="1134"/>
    </row>
    <row r="5" spans="1:298" ht="16.149999999999999" thickBot="1" x14ac:dyDescent="0.35">
      <c r="A5" s="611"/>
      <c r="B5" s="622"/>
      <c r="C5" s="622"/>
      <c r="D5" s="622"/>
      <c r="E5" s="622"/>
      <c r="F5" s="622"/>
      <c r="G5" s="622"/>
      <c r="H5" s="622"/>
      <c r="I5" s="622"/>
      <c r="J5" s="622"/>
      <c r="K5" s="622"/>
      <c r="L5" s="622"/>
      <c r="M5" s="622"/>
      <c r="N5" s="622"/>
      <c r="O5" s="622"/>
      <c r="P5" s="622"/>
      <c r="Q5" s="622"/>
      <c r="R5" s="622"/>
      <c r="S5" s="622"/>
      <c r="T5" s="622"/>
      <c r="U5" s="622"/>
      <c r="V5" s="622"/>
      <c r="W5" s="622"/>
      <c r="X5" s="1003"/>
      <c r="Y5" s="622"/>
      <c r="Z5" s="622"/>
      <c r="AA5" s="622"/>
      <c r="AB5" s="622"/>
      <c r="AC5" s="622"/>
      <c r="AD5" s="622"/>
      <c r="AE5" s="622"/>
      <c r="AF5" s="622"/>
      <c r="AG5" s="622"/>
      <c r="AH5" s="622"/>
      <c r="AI5" s="622"/>
      <c r="AJ5" s="622"/>
      <c r="AK5" s="618"/>
    </row>
    <row r="6" spans="1:298" ht="26.25" customHeight="1" thickBot="1" x14ac:dyDescent="0.3">
      <c r="A6" s="611"/>
      <c r="B6" s="1135" t="s">
        <v>11</v>
      </c>
      <c r="C6" s="1137" t="s">
        <v>541</v>
      </c>
      <c r="D6" s="1138"/>
      <c r="E6" s="1138"/>
      <c r="F6" s="1139"/>
      <c r="G6" s="1143" t="s">
        <v>542</v>
      </c>
      <c r="H6" s="1144"/>
      <c r="I6" s="1144"/>
      <c r="J6" s="1144"/>
      <c r="K6" s="1144"/>
      <c r="L6" s="1144"/>
      <c r="M6" s="1144"/>
      <c r="N6" s="1144"/>
      <c r="O6" s="1144"/>
      <c r="P6" s="1144"/>
      <c r="Q6" s="1144"/>
      <c r="R6" s="1145"/>
      <c r="S6" s="1149" t="s">
        <v>543</v>
      </c>
      <c r="T6" s="1150"/>
      <c r="U6" s="1150"/>
      <c r="V6" s="1150"/>
      <c r="W6" s="1150"/>
      <c r="X6" s="1150"/>
      <c r="Y6" s="1146" t="s">
        <v>544</v>
      </c>
      <c r="Z6" s="1147"/>
      <c r="AA6" s="1147"/>
      <c r="AB6" s="1147"/>
      <c r="AC6" s="1147"/>
      <c r="AD6" s="1147"/>
      <c r="AE6" s="1147"/>
      <c r="AF6" s="1147"/>
      <c r="AG6" s="1147"/>
      <c r="AH6" s="1147"/>
      <c r="AI6" s="1147"/>
      <c r="AJ6" s="1148"/>
      <c r="AK6" s="1009" t="s">
        <v>1856</v>
      </c>
    </row>
    <row r="7" spans="1:298" ht="33" customHeight="1" x14ac:dyDescent="0.25">
      <c r="A7" s="611"/>
      <c r="B7" s="1136"/>
      <c r="C7" s="1140"/>
      <c r="D7" s="1141"/>
      <c r="E7" s="1141"/>
      <c r="F7" s="1142"/>
      <c r="G7" s="1091" t="s">
        <v>546</v>
      </c>
      <c r="H7" s="1091" t="s">
        <v>547</v>
      </c>
      <c r="I7" s="1089" t="s">
        <v>548</v>
      </c>
      <c r="J7" s="1089" t="s">
        <v>549</v>
      </c>
      <c r="K7" s="1089" t="s">
        <v>550</v>
      </c>
      <c r="L7" s="1089" t="s">
        <v>551</v>
      </c>
      <c r="M7" s="1089" t="s">
        <v>552</v>
      </c>
      <c r="N7" s="1089" t="s">
        <v>553</v>
      </c>
      <c r="O7" s="1089" t="s">
        <v>554</v>
      </c>
      <c r="P7" s="1089" t="s">
        <v>555</v>
      </c>
      <c r="Q7" s="1089" t="s">
        <v>556</v>
      </c>
      <c r="R7" s="1090" t="s">
        <v>557</v>
      </c>
      <c r="S7" s="1088" t="s">
        <v>546</v>
      </c>
      <c r="T7" s="1089" t="s">
        <v>547</v>
      </c>
      <c r="U7" s="1089" t="s">
        <v>548</v>
      </c>
      <c r="V7" s="1089" t="s">
        <v>549</v>
      </c>
      <c r="W7" s="1089" t="s">
        <v>550</v>
      </c>
      <c r="X7" s="1089" t="s">
        <v>1855</v>
      </c>
      <c r="Y7" s="1010" t="s">
        <v>546</v>
      </c>
      <c r="Z7" s="1011" t="s">
        <v>547</v>
      </c>
      <c r="AA7" s="1011" t="s">
        <v>548</v>
      </c>
      <c r="AB7" s="1011" t="s">
        <v>549</v>
      </c>
      <c r="AC7" s="1011" t="s">
        <v>550</v>
      </c>
      <c r="AD7" s="1011" t="s">
        <v>551</v>
      </c>
      <c r="AE7" s="1011" t="s">
        <v>552</v>
      </c>
      <c r="AF7" s="1011" t="s">
        <v>553</v>
      </c>
      <c r="AG7" s="1011" t="s">
        <v>554</v>
      </c>
      <c r="AH7" s="1011" t="s">
        <v>555</v>
      </c>
      <c r="AI7" s="1011" t="s">
        <v>556</v>
      </c>
      <c r="AJ7" s="1012" t="s">
        <v>557</v>
      </c>
      <c r="AK7" s="1013"/>
      <c r="AM7" s="623"/>
    </row>
    <row r="8" spans="1:298" ht="20.100000000000001" customHeight="1" x14ac:dyDescent="0.3">
      <c r="A8" s="611"/>
      <c r="B8" s="1014">
        <v>1</v>
      </c>
      <c r="C8" s="1151" t="s">
        <v>558</v>
      </c>
      <c r="D8" s="1151"/>
      <c r="E8" s="1151"/>
      <c r="F8" s="1152"/>
      <c r="G8" s="624"/>
      <c r="H8" s="624"/>
      <c r="I8" s="625"/>
      <c r="J8" s="625"/>
      <c r="K8" s="625"/>
      <c r="L8" s="625"/>
      <c r="M8" s="625"/>
      <c r="N8" s="625"/>
      <c r="O8" s="625"/>
      <c r="P8" s="625"/>
      <c r="Q8" s="625"/>
      <c r="R8" s="626"/>
      <c r="S8" s="1020"/>
      <c r="T8" s="627"/>
      <c r="U8" s="627"/>
      <c r="V8" s="627"/>
      <c r="W8" s="627"/>
      <c r="X8" s="627"/>
      <c r="Y8" s="625"/>
      <c r="Z8" s="625"/>
      <c r="AA8" s="625"/>
      <c r="AB8" s="625"/>
      <c r="AC8" s="625"/>
      <c r="AD8" s="625"/>
      <c r="AE8" s="625"/>
      <c r="AF8" s="625"/>
      <c r="AG8" s="625"/>
      <c r="AH8" s="625"/>
      <c r="AI8" s="625"/>
      <c r="AJ8" s="626"/>
      <c r="AK8" s="626"/>
    </row>
    <row r="9" spans="1:298" s="634" customFormat="1" ht="20.100000000000001" customHeight="1" x14ac:dyDescent="0.3">
      <c r="A9" s="611"/>
      <c r="B9" s="1095">
        <v>1.1000000000000001</v>
      </c>
      <c r="C9" s="1153" t="s">
        <v>559</v>
      </c>
      <c r="D9" s="1153"/>
      <c r="E9" s="1153"/>
      <c r="F9" s="1154"/>
      <c r="G9" s="1096"/>
      <c r="H9" s="1097"/>
      <c r="I9" s="1097"/>
      <c r="J9" s="1097"/>
      <c r="K9" s="1097"/>
      <c r="L9" s="1097"/>
      <c r="M9" s="1097"/>
      <c r="N9" s="1097"/>
      <c r="O9" s="1097"/>
      <c r="P9" s="1097"/>
      <c r="Q9" s="1097"/>
      <c r="R9" s="1098"/>
      <c r="S9" s="1099"/>
      <c r="T9" s="1100"/>
      <c r="U9" s="1100"/>
      <c r="V9" s="1100"/>
      <c r="W9" s="1100"/>
      <c r="X9" s="1100"/>
      <c r="Y9" s="1101"/>
      <c r="Z9" s="1102"/>
      <c r="AA9" s="1102"/>
      <c r="AB9" s="1102"/>
      <c r="AC9" s="1102"/>
      <c r="AD9" s="1102"/>
      <c r="AE9" s="1102"/>
      <c r="AF9" s="1102"/>
      <c r="AG9" s="1102"/>
      <c r="AH9" s="1102"/>
      <c r="AI9" s="1102"/>
      <c r="AJ9" s="1103"/>
      <c r="AK9" s="1104"/>
      <c r="AL9" s="619"/>
      <c r="AM9" s="623"/>
      <c r="AN9" s="633"/>
      <c r="AO9" s="633"/>
      <c r="AP9" s="633"/>
      <c r="AQ9" s="633"/>
      <c r="AR9" s="633"/>
      <c r="AS9" s="620"/>
      <c r="AT9" s="620"/>
      <c r="AU9" s="620"/>
      <c r="AV9" s="620"/>
      <c r="AW9" s="620"/>
      <c r="AX9" s="620"/>
      <c r="AY9" s="620"/>
      <c r="AZ9" s="620"/>
      <c r="BA9" s="620"/>
      <c r="BB9" s="620"/>
      <c r="BC9" s="620"/>
      <c r="BD9" s="620"/>
      <c r="BE9" s="620"/>
      <c r="BF9" s="620"/>
      <c r="BG9" s="620"/>
      <c r="BH9" s="620"/>
      <c r="BI9" s="620"/>
      <c r="BJ9" s="620"/>
      <c r="BK9" s="620"/>
      <c r="BL9" s="620"/>
      <c r="BM9" s="620"/>
      <c r="BN9" s="620"/>
      <c r="BO9" s="620"/>
      <c r="BP9" s="620"/>
      <c r="BQ9" s="620"/>
      <c r="BR9" s="620"/>
      <c r="BS9" s="620"/>
      <c r="BT9" s="620"/>
      <c r="BU9" s="620"/>
      <c r="BV9" s="620"/>
      <c r="BW9" s="620"/>
      <c r="BX9" s="620"/>
      <c r="BY9" s="620"/>
      <c r="BZ9" s="620"/>
      <c r="CA9" s="620"/>
      <c r="CB9" s="620"/>
      <c r="CC9" s="620"/>
      <c r="CD9" s="620"/>
      <c r="CE9" s="620"/>
      <c r="CF9" s="620"/>
      <c r="CG9" s="620"/>
      <c r="CH9" s="620"/>
      <c r="CI9" s="620"/>
      <c r="CJ9" s="620"/>
      <c r="CK9" s="620"/>
      <c r="CL9" s="620"/>
      <c r="CM9" s="620"/>
      <c r="CN9" s="620"/>
      <c r="CO9" s="620"/>
      <c r="CP9" s="620"/>
      <c r="CQ9" s="620"/>
      <c r="CR9" s="620"/>
      <c r="CS9" s="620"/>
      <c r="CT9" s="620"/>
      <c r="CU9" s="620"/>
      <c r="CV9" s="620"/>
      <c r="CW9" s="620"/>
      <c r="CX9" s="620"/>
      <c r="CY9" s="620"/>
      <c r="CZ9" s="620"/>
      <c r="DA9" s="620"/>
      <c r="DB9" s="620"/>
      <c r="DC9" s="620"/>
      <c r="DD9" s="620"/>
      <c r="DE9" s="620"/>
      <c r="DF9" s="620"/>
      <c r="DG9" s="620"/>
      <c r="DH9" s="620"/>
      <c r="DI9" s="620"/>
      <c r="DJ9" s="620"/>
      <c r="DK9" s="620"/>
      <c r="DL9" s="620"/>
      <c r="DM9" s="620"/>
      <c r="DN9" s="620"/>
      <c r="DO9" s="620"/>
      <c r="DP9" s="620"/>
      <c r="DQ9" s="620"/>
      <c r="DR9" s="620"/>
      <c r="DS9" s="620"/>
      <c r="DT9" s="620"/>
      <c r="DU9" s="620"/>
      <c r="DV9" s="620"/>
      <c r="DW9" s="620"/>
      <c r="DX9" s="620"/>
      <c r="DY9" s="620"/>
      <c r="DZ9" s="620"/>
      <c r="EA9" s="620"/>
      <c r="EB9" s="620"/>
      <c r="EC9" s="620"/>
      <c r="ED9" s="620"/>
      <c r="EE9" s="620"/>
      <c r="EF9" s="620"/>
      <c r="EG9" s="620"/>
      <c r="EH9" s="620"/>
      <c r="EI9" s="620"/>
      <c r="EJ9" s="620"/>
      <c r="EK9" s="620"/>
      <c r="EL9" s="620"/>
      <c r="EM9" s="620"/>
      <c r="EN9" s="620"/>
      <c r="EO9" s="620"/>
      <c r="EP9" s="620"/>
      <c r="EQ9" s="620"/>
      <c r="ER9" s="620"/>
      <c r="ES9" s="620"/>
      <c r="ET9" s="620"/>
      <c r="EU9" s="620"/>
      <c r="EV9" s="620"/>
      <c r="EW9" s="620"/>
      <c r="EX9" s="620"/>
      <c r="EY9" s="620"/>
      <c r="EZ9" s="620"/>
      <c r="FA9" s="620"/>
      <c r="FB9" s="620"/>
      <c r="FC9" s="620"/>
      <c r="FD9" s="620"/>
      <c r="FE9" s="620"/>
      <c r="FF9" s="620"/>
      <c r="FG9" s="620"/>
      <c r="FH9" s="620"/>
      <c r="FI9" s="620"/>
      <c r="FJ9" s="620"/>
      <c r="FK9" s="620"/>
      <c r="FL9" s="620"/>
      <c r="FM9" s="620"/>
      <c r="FN9" s="620"/>
      <c r="FO9" s="620"/>
      <c r="FP9" s="620"/>
      <c r="FQ9" s="620"/>
      <c r="FR9" s="620"/>
      <c r="FS9" s="620"/>
      <c r="FT9" s="620"/>
      <c r="FU9" s="620"/>
      <c r="FV9" s="620"/>
      <c r="FW9" s="620"/>
      <c r="FX9" s="620"/>
      <c r="FY9" s="620"/>
      <c r="FZ9" s="620"/>
      <c r="GA9" s="620"/>
      <c r="GB9" s="620"/>
      <c r="GC9" s="620"/>
      <c r="GD9" s="620"/>
      <c r="GE9" s="620"/>
      <c r="GF9" s="620"/>
      <c r="GG9" s="620"/>
      <c r="GH9" s="620"/>
      <c r="GI9" s="620"/>
      <c r="GJ9" s="620"/>
      <c r="GK9" s="620"/>
      <c r="GL9" s="620"/>
      <c r="GM9" s="620"/>
      <c r="GN9" s="620"/>
      <c r="GO9" s="620"/>
      <c r="GP9" s="620"/>
      <c r="GQ9" s="620"/>
      <c r="GR9" s="620"/>
      <c r="GS9" s="620"/>
      <c r="GT9" s="620"/>
      <c r="GU9" s="620"/>
      <c r="GV9" s="620"/>
      <c r="GW9" s="620"/>
      <c r="GX9" s="620"/>
      <c r="GY9" s="620"/>
      <c r="GZ9" s="620"/>
      <c r="HA9" s="620"/>
      <c r="HB9" s="620"/>
      <c r="HC9" s="620"/>
      <c r="HD9" s="620"/>
      <c r="HE9" s="620"/>
      <c r="HF9" s="620"/>
      <c r="HG9" s="620"/>
      <c r="HH9" s="620"/>
      <c r="HI9" s="620"/>
      <c r="HJ9" s="620"/>
      <c r="HK9" s="620"/>
      <c r="HL9" s="620"/>
      <c r="HM9" s="620"/>
      <c r="HN9" s="620"/>
      <c r="HO9" s="620"/>
      <c r="HP9" s="620"/>
      <c r="HQ9" s="620"/>
      <c r="HR9" s="620"/>
      <c r="HS9" s="620"/>
      <c r="HT9" s="620"/>
      <c r="HU9" s="620"/>
      <c r="HV9" s="620"/>
      <c r="HW9" s="620"/>
      <c r="HX9" s="620"/>
      <c r="HY9" s="620"/>
      <c r="HZ9" s="620"/>
      <c r="IA9" s="620"/>
      <c r="IB9" s="620"/>
      <c r="IC9" s="620"/>
      <c r="ID9" s="620"/>
      <c r="IE9" s="620"/>
      <c r="IF9" s="620"/>
      <c r="IG9" s="620"/>
      <c r="IH9" s="620"/>
      <c r="II9" s="620"/>
      <c r="IJ9" s="620"/>
      <c r="IK9" s="620"/>
      <c r="IL9" s="620"/>
      <c r="IM9" s="620"/>
      <c r="IN9" s="620"/>
      <c r="IO9" s="620"/>
      <c r="IP9" s="620"/>
      <c r="IQ9" s="620"/>
      <c r="IR9" s="620"/>
      <c r="IS9" s="620"/>
      <c r="IT9" s="620"/>
      <c r="IU9" s="620"/>
      <c r="IV9" s="620"/>
      <c r="IW9" s="620"/>
      <c r="IX9" s="620"/>
      <c r="IY9" s="620"/>
      <c r="IZ9" s="620"/>
      <c r="JA9" s="620"/>
      <c r="JB9" s="620"/>
      <c r="JC9" s="620"/>
      <c r="JD9" s="620"/>
      <c r="JE9" s="620"/>
      <c r="JF9" s="620"/>
      <c r="JG9" s="620"/>
      <c r="JH9" s="620"/>
      <c r="JI9" s="620"/>
      <c r="JJ9" s="620"/>
      <c r="JK9" s="620"/>
      <c r="JL9" s="620"/>
      <c r="JM9" s="620"/>
      <c r="JN9" s="620"/>
      <c r="JO9" s="620"/>
      <c r="JP9" s="620"/>
      <c r="JQ9" s="620"/>
      <c r="JR9" s="620"/>
      <c r="JS9" s="620"/>
      <c r="JT9" s="620"/>
      <c r="JU9" s="620"/>
      <c r="JV9" s="620"/>
      <c r="JW9" s="620"/>
      <c r="JX9" s="620"/>
      <c r="JY9" s="620"/>
      <c r="JZ9" s="620"/>
      <c r="KA9" s="620"/>
      <c r="KB9" s="620"/>
      <c r="KC9" s="620"/>
      <c r="KD9" s="620"/>
      <c r="KE9" s="620"/>
      <c r="KF9" s="620"/>
      <c r="KG9" s="620"/>
      <c r="KH9" s="620"/>
      <c r="KI9" s="620"/>
      <c r="KJ9" s="620"/>
      <c r="KK9" s="620"/>
      <c r="KL9" s="620"/>
    </row>
    <row r="10" spans="1:298" s="634" customFormat="1" ht="20.100000000000001" customHeight="1" x14ac:dyDescent="0.3">
      <c r="A10" s="611"/>
      <c r="B10" s="1095">
        <v>1.2</v>
      </c>
      <c r="C10" s="1200" t="s">
        <v>1883</v>
      </c>
      <c r="D10" s="1200"/>
      <c r="E10" s="1200"/>
      <c r="F10" s="1201"/>
      <c r="G10" s="1096"/>
      <c r="H10" s="1097"/>
      <c r="I10" s="1097"/>
      <c r="J10" s="1097"/>
      <c r="K10" s="1097"/>
      <c r="L10" s="1097"/>
      <c r="M10" s="1097"/>
      <c r="N10" s="1097"/>
      <c r="O10" s="1097"/>
      <c r="P10" s="1097"/>
      <c r="Q10" s="1097"/>
      <c r="R10" s="1098"/>
      <c r="S10" s="1099"/>
      <c r="T10" s="1100"/>
      <c r="U10" s="1100"/>
      <c r="V10" s="1100"/>
      <c r="W10" s="1100"/>
      <c r="X10" s="1100"/>
      <c r="Y10" s="1101"/>
      <c r="Z10" s="1102"/>
      <c r="AA10" s="1102"/>
      <c r="AB10" s="1102"/>
      <c r="AC10" s="1102"/>
      <c r="AD10" s="1102"/>
      <c r="AE10" s="1102"/>
      <c r="AF10" s="1102"/>
      <c r="AG10" s="1102"/>
      <c r="AH10" s="1102"/>
      <c r="AI10" s="1102"/>
      <c r="AJ10" s="1103"/>
      <c r="AK10" s="1104"/>
      <c r="AL10" s="619"/>
      <c r="AM10" s="623"/>
      <c r="AN10" s="633"/>
      <c r="AO10" s="633"/>
      <c r="AP10" s="633"/>
      <c r="AQ10" s="633"/>
      <c r="AR10" s="633"/>
      <c r="AS10" s="620"/>
      <c r="AT10" s="620"/>
      <c r="AU10" s="620"/>
      <c r="AV10" s="620"/>
      <c r="AW10" s="620"/>
      <c r="AX10" s="620"/>
      <c r="AY10" s="620"/>
      <c r="AZ10" s="620"/>
      <c r="BA10" s="620"/>
      <c r="BB10" s="620"/>
      <c r="BC10" s="620"/>
      <c r="BD10" s="620"/>
      <c r="BE10" s="620"/>
      <c r="BF10" s="620"/>
      <c r="BG10" s="620"/>
      <c r="BH10" s="620"/>
      <c r="BI10" s="620"/>
      <c r="BJ10" s="620"/>
      <c r="BK10" s="620"/>
      <c r="BL10" s="620"/>
      <c r="BM10" s="620"/>
      <c r="BN10" s="620"/>
      <c r="BO10" s="620"/>
      <c r="BP10" s="620"/>
      <c r="BQ10" s="620"/>
      <c r="BR10" s="620"/>
      <c r="BS10" s="620"/>
      <c r="BT10" s="620"/>
      <c r="BU10" s="620"/>
      <c r="BV10" s="620"/>
      <c r="BW10" s="620"/>
      <c r="BX10" s="620"/>
      <c r="BY10" s="620"/>
      <c r="BZ10" s="620"/>
      <c r="CA10" s="620"/>
      <c r="CB10" s="620"/>
      <c r="CC10" s="620"/>
      <c r="CD10" s="620"/>
      <c r="CE10" s="620"/>
      <c r="CF10" s="620"/>
      <c r="CG10" s="620"/>
      <c r="CH10" s="620"/>
      <c r="CI10" s="620"/>
      <c r="CJ10" s="620"/>
      <c r="CK10" s="620"/>
      <c r="CL10" s="620"/>
      <c r="CM10" s="620"/>
      <c r="CN10" s="620"/>
      <c r="CO10" s="620"/>
      <c r="CP10" s="620"/>
      <c r="CQ10" s="620"/>
      <c r="CR10" s="620"/>
      <c r="CS10" s="620"/>
      <c r="CT10" s="620"/>
      <c r="CU10" s="620"/>
      <c r="CV10" s="620"/>
      <c r="CW10" s="620"/>
      <c r="CX10" s="620"/>
      <c r="CY10" s="620"/>
      <c r="CZ10" s="620"/>
      <c r="DA10" s="620"/>
      <c r="DB10" s="620"/>
      <c r="DC10" s="620"/>
      <c r="DD10" s="620"/>
      <c r="DE10" s="620"/>
      <c r="DF10" s="620"/>
      <c r="DG10" s="620"/>
      <c r="DH10" s="620"/>
      <c r="DI10" s="620"/>
      <c r="DJ10" s="620"/>
      <c r="DK10" s="620"/>
      <c r="DL10" s="620"/>
      <c r="DM10" s="620"/>
      <c r="DN10" s="620"/>
      <c r="DO10" s="620"/>
      <c r="DP10" s="620"/>
      <c r="DQ10" s="620"/>
      <c r="DR10" s="620"/>
      <c r="DS10" s="620"/>
      <c r="DT10" s="620"/>
      <c r="DU10" s="620"/>
      <c r="DV10" s="620"/>
      <c r="DW10" s="620"/>
      <c r="DX10" s="620"/>
      <c r="DY10" s="620"/>
      <c r="DZ10" s="620"/>
      <c r="EA10" s="620"/>
      <c r="EB10" s="620"/>
      <c r="EC10" s="620"/>
      <c r="ED10" s="620"/>
      <c r="EE10" s="620"/>
      <c r="EF10" s="620"/>
      <c r="EG10" s="620"/>
      <c r="EH10" s="620"/>
      <c r="EI10" s="620"/>
      <c r="EJ10" s="620"/>
      <c r="EK10" s="620"/>
      <c r="EL10" s="620"/>
      <c r="EM10" s="620"/>
      <c r="EN10" s="620"/>
      <c r="EO10" s="620"/>
      <c r="EP10" s="620"/>
      <c r="EQ10" s="620"/>
      <c r="ER10" s="620"/>
      <c r="ES10" s="620"/>
      <c r="ET10" s="620"/>
      <c r="EU10" s="620"/>
      <c r="EV10" s="620"/>
      <c r="EW10" s="620"/>
      <c r="EX10" s="620"/>
      <c r="EY10" s="620"/>
      <c r="EZ10" s="620"/>
      <c r="FA10" s="620"/>
      <c r="FB10" s="620"/>
      <c r="FC10" s="620"/>
      <c r="FD10" s="620"/>
      <c r="FE10" s="620"/>
      <c r="FF10" s="620"/>
      <c r="FG10" s="620"/>
      <c r="FH10" s="620"/>
      <c r="FI10" s="620"/>
      <c r="FJ10" s="620"/>
      <c r="FK10" s="620"/>
      <c r="FL10" s="620"/>
      <c r="FM10" s="620"/>
      <c r="FN10" s="620"/>
      <c r="FO10" s="620"/>
      <c r="FP10" s="620"/>
      <c r="FQ10" s="620"/>
      <c r="FR10" s="620"/>
      <c r="FS10" s="620"/>
      <c r="FT10" s="620"/>
      <c r="FU10" s="620"/>
      <c r="FV10" s="620"/>
      <c r="FW10" s="620"/>
      <c r="FX10" s="620"/>
      <c r="FY10" s="620"/>
      <c r="FZ10" s="620"/>
      <c r="GA10" s="620"/>
      <c r="GB10" s="620"/>
      <c r="GC10" s="620"/>
      <c r="GD10" s="620"/>
      <c r="GE10" s="620"/>
      <c r="GF10" s="620"/>
      <c r="GG10" s="620"/>
      <c r="GH10" s="620"/>
      <c r="GI10" s="620"/>
      <c r="GJ10" s="620"/>
      <c r="GK10" s="620"/>
      <c r="GL10" s="620"/>
      <c r="GM10" s="620"/>
      <c r="GN10" s="620"/>
      <c r="GO10" s="620"/>
      <c r="GP10" s="620"/>
      <c r="GQ10" s="620"/>
      <c r="GR10" s="620"/>
      <c r="GS10" s="620"/>
      <c r="GT10" s="620"/>
      <c r="GU10" s="620"/>
      <c r="GV10" s="620"/>
      <c r="GW10" s="620"/>
      <c r="GX10" s="620"/>
      <c r="GY10" s="620"/>
      <c r="GZ10" s="620"/>
      <c r="HA10" s="620"/>
      <c r="HB10" s="620"/>
      <c r="HC10" s="620"/>
      <c r="HD10" s="620"/>
      <c r="HE10" s="620"/>
      <c r="HF10" s="620"/>
      <c r="HG10" s="620"/>
      <c r="HH10" s="620"/>
      <c r="HI10" s="620"/>
      <c r="HJ10" s="620"/>
      <c r="HK10" s="620"/>
      <c r="HL10" s="620"/>
      <c r="HM10" s="620"/>
      <c r="HN10" s="620"/>
      <c r="HO10" s="620"/>
      <c r="HP10" s="620"/>
      <c r="HQ10" s="620"/>
      <c r="HR10" s="620"/>
      <c r="HS10" s="620"/>
      <c r="HT10" s="620"/>
      <c r="HU10" s="620"/>
      <c r="HV10" s="620"/>
      <c r="HW10" s="620"/>
      <c r="HX10" s="620"/>
      <c r="HY10" s="620"/>
      <c r="HZ10" s="620"/>
      <c r="IA10" s="620"/>
      <c r="IB10" s="620"/>
      <c r="IC10" s="620"/>
      <c r="ID10" s="620"/>
      <c r="IE10" s="620"/>
      <c r="IF10" s="620"/>
      <c r="IG10" s="620"/>
      <c r="IH10" s="620"/>
      <c r="II10" s="620"/>
      <c r="IJ10" s="620"/>
      <c r="IK10" s="620"/>
      <c r="IL10" s="620"/>
      <c r="IM10" s="620"/>
      <c r="IN10" s="620"/>
      <c r="IO10" s="620"/>
      <c r="IP10" s="620"/>
      <c r="IQ10" s="620"/>
      <c r="IR10" s="620"/>
      <c r="IS10" s="620"/>
      <c r="IT10" s="620"/>
      <c r="IU10" s="620"/>
      <c r="IV10" s="620"/>
      <c r="IW10" s="620"/>
      <c r="IX10" s="620"/>
      <c r="IY10" s="620"/>
      <c r="IZ10" s="620"/>
      <c r="JA10" s="620"/>
      <c r="JB10" s="620"/>
      <c r="JC10" s="620"/>
      <c r="JD10" s="620"/>
      <c r="JE10" s="620"/>
      <c r="JF10" s="620"/>
      <c r="JG10" s="620"/>
      <c r="JH10" s="620"/>
      <c r="JI10" s="620"/>
      <c r="JJ10" s="620"/>
      <c r="JK10" s="620"/>
      <c r="JL10" s="620"/>
      <c r="JM10" s="620"/>
      <c r="JN10" s="620"/>
      <c r="JO10" s="620"/>
      <c r="JP10" s="620"/>
      <c r="JQ10" s="620"/>
      <c r="JR10" s="620"/>
      <c r="JS10" s="620"/>
      <c r="JT10" s="620"/>
      <c r="JU10" s="620"/>
      <c r="JV10" s="620"/>
      <c r="JW10" s="620"/>
      <c r="JX10" s="620"/>
      <c r="JY10" s="620"/>
      <c r="JZ10" s="620"/>
      <c r="KA10" s="620"/>
      <c r="KB10" s="620"/>
      <c r="KC10" s="620"/>
      <c r="KD10" s="620"/>
      <c r="KE10" s="620"/>
      <c r="KF10" s="620"/>
      <c r="KG10" s="620"/>
      <c r="KH10" s="620"/>
      <c r="KI10" s="620"/>
      <c r="KJ10" s="620"/>
      <c r="KK10" s="620"/>
      <c r="KL10" s="620"/>
    </row>
    <row r="11" spans="1:298" ht="20.100000000000001" customHeight="1" x14ac:dyDescent="0.3">
      <c r="A11" s="611"/>
      <c r="B11" s="1015">
        <v>2</v>
      </c>
      <c r="C11" s="1187" t="s">
        <v>560</v>
      </c>
      <c r="D11" s="1187"/>
      <c r="E11" s="1187"/>
      <c r="F11" s="1188"/>
      <c r="G11" s="867"/>
      <c r="H11" s="867"/>
      <c r="I11" s="867"/>
      <c r="J11" s="867"/>
      <c r="K11" s="867"/>
      <c r="L11" s="867"/>
      <c r="M11" s="867"/>
      <c r="N11" s="867"/>
      <c r="O11" s="867"/>
      <c r="P11" s="867"/>
      <c r="Q11" s="867"/>
      <c r="R11" s="868"/>
      <c r="S11" s="1022"/>
      <c r="T11" s="869"/>
      <c r="U11" s="869"/>
      <c r="V11" s="869"/>
      <c r="W11" s="869"/>
      <c r="X11" s="869"/>
      <c r="Y11" s="635"/>
      <c r="Z11" s="635"/>
      <c r="AA11" s="635"/>
      <c r="AB11" s="635"/>
      <c r="AC11" s="635"/>
      <c r="AD11" s="635"/>
      <c r="AE11" s="635"/>
      <c r="AF11" s="635"/>
      <c r="AG11" s="635"/>
      <c r="AH11" s="635"/>
      <c r="AI11" s="635"/>
      <c r="AJ11" s="636"/>
      <c r="AK11" s="862"/>
    </row>
    <row r="12" spans="1:298" s="634" customFormat="1" ht="19.5" customHeight="1" x14ac:dyDescent="0.3">
      <c r="A12" s="611"/>
      <c r="B12" s="1016" t="s">
        <v>563</v>
      </c>
      <c r="C12" s="1198" t="s">
        <v>1854</v>
      </c>
      <c r="D12" s="1198"/>
      <c r="E12" s="1198"/>
      <c r="F12" s="1199"/>
      <c r="G12" s="1001"/>
      <c r="H12" s="1001"/>
      <c r="I12" s="1001"/>
      <c r="J12" s="870"/>
      <c r="K12" s="870"/>
      <c r="L12" s="870"/>
      <c r="M12" s="870"/>
      <c r="N12" s="870"/>
      <c r="O12" s="870"/>
      <c r="P12" s="870"/>
      <c r="Q12" s="870"/>
      <c r="R12" s="983"/>
      <c r="S12" s="880"/>
      <c r="T12" s="870"/>
      <c r="U12" s="870"/>
      <c r="V12" s="870"/>
      <c r="W12" s="870"/>
      <c r="X12" s="870"/>
      <c r="Y12" s="632"/>
      <c r="Z12" s="628"/>
      <c r="AA12" s="628"/>
      <c r="AB12" s="628"/>
      <c r="AC12" s="628"/>
      <c r="AD12" s="628"/>
      <c r="AE12" s="628"/>
      <c r="AF12" s="628"/>
      <c r="AG12" s="628"/>
      <c r="AH12" s="628"/>
      <c r="AI12" s="628"/>
      <c r="AJ12" s="629"/>
      <c r="AK12" s="1008"/>
      <c r="AL12" s="619"/>
      <c r="AM12" s="620"/>
      <c r="AN12" s="620"/>
      <c r="AO12" s="620"/>
      <c r="AP12" s="620"/>
      <c r="AQ12" s="620"/>
      <c r="AR12" s="620"/>
      <c r="AS12" s="620"/>
      <c r="AT12" s="620"/>
      <c r="AU12" s="620"/>
      <c r="AV12" s="620"/>
      <c r="AW12" s="620"/>
      <c r="AX12" s="620"/>
      <c r="AY12" s="620"/>
      <c r="AZ12" s="620"/>
      <c r="BA12" s="620"/>
      <c r="BB12" s="620"/>
      <c r="BC12" s="620"/>
      <c r="BD12" s="620"/>
      <c r="BE12" s="620"/>
      <c r="BF12" s="620"/>
      <c r="BG12" s="620"/>
      <c r="BH12" s="620"/>
      <c r="BI12" s="620"/>
      <c r="BJ12" s="620"/>
      <c r="BK12" s="620"/>
      <c r="BL12" s="620"/>
      <c r="BM12" s="620"/>
      <c r="BN12" s="620"/>
      <c r="BO12" s="620"/>
      <c r="BP12" s="620"/>
      <c r="BQ12" s="620"/>
      <c r="BR12" s="620"/>
      <c r="BS12" s="620"/>
      <c r="BT12" s="620"/>
      <c r="BU12" s="620"/>
      <c r="BV12" s="620"/>
      <c r="BW12" s="620"/>
      <c r="BX12" s="620"/>
      <c r="BY12" s="620"/>
      <c r="BZ12" s="620"/>
      <c r="CA12" s="620"/>
      <c r="CB12" s="620"/>
      <c r="CC12" s="620"/>
      <c r="CD12" s="620"/>
      <c r="CE12" s="620"/>
      <c r="CF12" s="620"/>
      <c r="CG12" s="620"/>
      <c r="CH12" s="620"/>
      <c r="CI12" s="620"/>
      <c r="CJ12" s="620"/>
      <c r="CK12" s="620"/>
      <c r="CL12" s="620"/>
      <c r="CM12" s="620"/>
      <c r="CN12" s="620"/>
      <c r="CO12" s="620"/>
      <c r="CP12" s="620"/>
      <c r="CQ12" s="620"/>
      <c r="CR12" s="620"/>
      <c r="CS12" s="620"/>
      <c r="CT12" s="620"/>
      <c r="CU12" s="620"/>
      <c r="CV12" s="620"/>
      <c r="CW12" s="620"/>
      <c r="CX12" s="620"/>
      <c r="CY12" s="620"/>
      <c r="CZ12" s="620"/>
      <c r="DA12" s="620"/>
      <c r="DB12" s="620"/>
      <c r="DC12" s="620"/>
      <c r="DD12" s="620"/>
      <c r="DE12" s="620"/>
      <c r="DF12" s="620"/>
      <c r="DG12" s="620"/>
      <c r="DH12" s="620"/>
      <c r="DI12" s="620"/>
      <c r="DJ12" s="620"/>
      <c r="DK12" s="620"/>
      <c r="DL12" s="620"/>
      <c r="DM12" s="620"/>
      <c r="DN12" s="620"/>
      <c r="DO12" s="620"/>
      <c r="DP12" s="620"/>
      <c r="DQ12" s="620"/>
      <c r="DR12" s="620"/>
      <c r="DS12" s="620"/>
      <c r="DT12" s="620"/>
      <c r="DU12" s="620"/>
      <c r="DV12" s="620"/>
      <c r="DW12" s="620"/>
      <c r="DX12" s="620"/>
      <c r="DY12" s="620"/>
      <c r="DZ12" s="620"/>
      <c r="EA12" s="620"/>
      <c r="EB12" s="620"/>
      <c r="EC12" s="620"/>
      <c r="ED12" s="620"/>
      <c r="EE12" s="620"/>
      <c r="EF12" s="620"/>
      <c r="EG12" s="620"/>
      <c r="EH12" s="620"/>
      <c r="EI12" s="620"/>
      <c r="EJ12" s="620"/>
      <c r="EK12" s="620"/>
      <c r="EL12" s="620"/>
      <c r="EM12" s="620"/>
      <c r="EN12" s="620"/>
      <c r="EO12" s="620"/>
      <c r="EP12" s="620"/>
      <c r="EQ12" s="620"/>
      <c r="ER12" s="620"/>
      <c r="ES12" s="620"/>
      <c r="ET12" s="620"/>
      <c r="EU12" s="620"/>
      <c r="EV12" s="620"/>
      <c r="EW12" s="620"/>
      <c r="EX12" s="620"/>
      <c r="EY12" s="620"/>
      <c r="EZ12" s="620"/>
      <c r="FA12" s="620"/>
      <c r="FB12" s="620"/>
      <c r="FC12" s="620"/>
      <c r="FD12" s="620"/>
      <c r="FE12" s="620"/>
      <c r="FF12" s="620"/>
      <c r="FG12" s="620"/>
      <c r="FH12" s="620"/>
      <c r="FI12" s="620"/>
      <c r="FJ12" s="620"/>
      <c r="FK12" s="620"/>
      <c r="FL12" s="620"/>
      <c r="FM12" s="620"/>
      <c r="FN12" s="620"/>
      <c r="FO12" s="620"/>
      <c r="FP12" s="620"/>
      <c r="FQ12" s="620"/>
      <c r="FR12" s="620"/>
      <c r="FS12" s="620"/>
      <c r="FT12" s="620"/>
      <c r="FU12" s="620"/>
      <c r="FV12" s="620"/>
      <c r="FW12" s="620"/>
      <c r="FX12" s="620"/>
      <c r="FY12" s="620"/>
      <c r="FZ12" s="620"/>
      <c r="GA12" s="620"/>
      <c r="GB12" s="620"/>
      <c r="GC12" s="620"/>
      <c r="GD12" s="620"/>
      <c r="GE12" s="620"/>
      <c r="GF12" s="620"/>
      <c r="GG12" s="620"/>
      <c r="GH12" s="620"/>
      <c r="GI12" s="620"/>
      <c r="GJ12" s="620"/>
      <c r="GK12" s="620"/>
      <c r="GL12" s="620"/>
      <c r="GM12" s="620"/>
      <c r="GN12" s="620"/>
      <c r="GO12" s="620"/>
      <c r="GP12" s="620"/>
      <c r="GQ12" s="620"/>
      <c r="GR12" s="620"/>
      <c r="GS12" s="620"/>
      <c r="GT12" s="620"/>
      <c r="GU12" s="620"/>
      <c r="GV12" s="620"/>
      <c r="GW12" s="620"/>
      <c r="GX12" s="620"/>
      <c r="GY12" s="620"/>
      <c r="GZ12" s="620"/>
      <c r="HA12" s="620"/>
      <c r="HB12" s="620"/>
      <c r="HC12" s="620"/>
      <c r="HD12" s="620"/>
      <c r="HE12" s="620"/>
      <c r="HF12" s="620"/>
      <c r="HG12" s="620"/>
      <c r="HH12" s="620"/>
      <c r="HI12" s="620"/>
      <c r="HJ12" s="620"/>
      <c r="HK12" s="620"/>
      <c r="HL12" s="620"/>
      <c r="HM12" s="620"/>
      <c r="HN12" s="620"/>
      <c r="HO12" s="620"/>
      <c r="HP12" s="620"/>
      <c r="HQ12" s="620"/>
      <c r="HR12" s="620"/>
      <c r="HS12" s="620"/>
      <c r="HT12" s="620"/>
      <c r="HU12" s="620"/>
      <c r="HV12" s="620"/>
      <c r="HW12" s="620"/>
      <c r="HX12" s="620"/>
      <c r="HY12" s="620"/>
      <c r="HZ12" s="620"/>
      <c r="IA12" s="620"/>
      <c r="IB12" s="620"/>
      <c r="IC12" s="620"/>
      <c r="ID12" s="620"/>
      <c r="IE12" s="620"/>
      <c r="IF12" s="620"/>
      <c r="IG12" s="620"/>
      <c r="IH12" s="620"/>
      <c r="II12" s="620"/>
      <c r="IJ12" s="620"/>
      <c r="IK12" s="620"/>
      <c r="IL12" s="620"/>
      <c r="IM12" s="620"/>
      <c r="IN12" s="620"/>
      <c r="IO12" s="620"/>
      <c r="IP12" s="620"/>
      <c r="IQ12" s="620"/>
      <c r="IR12" s="620"/>
      <c r="IS12" s="620"/>
      <c r="IT12" s="620"/>
      <c r="IU12" s="620"/>
      <c r="IV12" s="620"/>
      <c r="IW12" s="620"/>
      <c r="IX12" s="620"/>
      <c r="IY12" s="620"/>
      <c r="IZ12" s="620"/>
      <c r="JA12" s="620"/>
      <c r="JB12" s="620"/>
      <c r="JC12" s="620"/>
      <c r="JD12" s="620"/>
      <c r="JE12" s="620"/>
      <c r="JF12" s="620"/>
      <c r="JG12" s="620"/>
      <c r="JH12" s="620"/>
      <c r="JI12" s="620"/>
      <c r="JJ12" s="620"/>
      <c r="JK12" s="620"/>
      <c r="JL12" s="620"/>
      <c r="JM12" s="620"/>
      <c r="JN12" s="620"/>
      <c r="JO12" s="620"/>
      <c r="JP12" s="620"/>
      <c r="JQ12" s="620"/>
      <c r="JR12" s="620"/>
      <c r="JS12" s="620"/>
      <c r="JT12" s="620"/>
      <c r="JU12" s="620"/>
      <c r="JV12" s="620"/>
      <c r="JW12" s="620"/>
      <c r="JX12" s="620"/>
      <c r="JY12" s="620"/>
      <c r="JZ12" s="620"/>
      <c r="KA12" s="620"/>
      <c r="KB12" s="620"/>
      <c r="KC12" s="620"/>
      <c r="KD12" s="620"/>
      <c r="KE12" s="620"/>
      <c r="KF12" s="620"/>
      <c r="KG12" s="620"/>
      <c r="KH12" s="620"/>
      <c r="KI12" s="620"/>
      <c r="KJ12" s="620"/>
      <c r="KK12" s="620"/>
      <c r="KL12" s="620"/>
    </row>
    <row r="13" spans="1:298" s="641" customFormat="1" ht="20.100000000000001" customHeight="1" x14ac:dyDescent="0.3">
      <c r="A13" s="637"/>
      <c r="B13" s="1016" t="s">
        <v>1800</v>
      </c>
      <c r="C13" s="1198" t="s">
        <v>1841</v>
      </c>
      <c r="D13" s="1198"/>
      <c r="E13" s="1198"/>
      <c r="F13" s="1199"/>
      <c r="G13" s="993"/>
      <c r="H13" s="870"/>
      <c r="I13" s="870"/>
      <c r="J13" s="1001"/>
      <c r="K13" s="1001"/>
      <c r="L13" s="1001"/>
      <c r="M13" s="1001"/>
      <c r="N13" s="870"/>
      <c r="O13" s="870"/>
      <c r="P13" s="870"/>
      <c r="Q13" s="870"/>
      <c r="R13" s="983"/>
      <c r="S13" s="880"/>
      <c r="T13" s="870"/>
      <c r="U13" s="870"/>
      <c r="V13" s="870"/>
      <c r="W13" s="870"/>
      <c r="X13" s="870"/>
      <c r="Y13" s="638"/>
      <c r="Z13" s="630"/>
      <c r="AA13" s="630"/>
      <c r="AB13" s="630"/>
      <c r="AC13" s="630"/>
      <c r="AD13" s="630"/>
      <c r="AE13" s="630"/>
      <c r="AF13" s="630"/>
      <c r="AG13" s="630"/>
      <c r="AH13" s="630"/>
      <c r="AI13" s="630"/>
      <c r="AJ13" s="631"/>
      <c r="AK13" s="861"/>
      <c r="AL13" s="639"/>
      <c r="AM13" s="640"/>
      <c r="AN13" s="640"/>
      <c r="AO13" s="640"/>
      <c r="AP13" s="640"/>
      <c r="AQ13" s="640"/>
      <c r="AR13" s="640"/>
      <c r="AS13" s="640"/>
      <c r="AT13" s="640"/>
      <c r="AU13" s="640"/>
      <c r="AV13" s="640"/>
      <c r="AW13" s="640"/>
      <c r="AX13" s="640"/>
      <c r="AY13" s="640"/>
      <c r="AZ13" s="640"/>
      <c r="BA13" s="640"/>
      <c r="BB13" s="640"/>
      <c r="BC13" s="640"/>
      <c r="BD13" s="640"/>
      <c r="BE13" s="640"/>
      <c r="BF13" s="640"/>
      <c r="BG13" s="640"/>
      <c r="BH13" s="640"/>
      <c r="BI13" s="640"/>
      <c r="BJ13" s="640"/>
      <c r="BK13" s="640"/>
      <c r="BL13" s="640"/>
      <c r="BM13" s="640"/>
      <c r="BN13" s="640"/>
      <c r="BO13" s="640"/>
      <c r="BP13" s="640"/>
      <c r="BQ13" s="640"/>
      <c r="BR13" s="640"/>
      <c r="BS13" s="640"/>
      <c r="BT13" s="640"/>
      <c r="BU13" s="640"/>
      <c r="BV13" s="640"/>
      <c r="BW13" s="640"/>
      <c r="BX13" s="640"/>
      <c r="BY13" s="640"/>
      <c r="BZ13" s="640"/>
      <c r="CA13" s="640"/>
      <c r="CB13" s="640"/>
      <c r="CC13" s="640"/>
      <c r="CD13" s="640"/>
      <c r="CE13" s="640"/>
      <c r="CF13" s="640"/>
      <c r="CG13" s="640"/>
      <c r="CH13" s="640"/>
      <c r="CI13" s="640"/>
      <c r="CJ13" s="640"/>
      <c r="CK13" s="640"/>
      <c r="CL13" s="640"/>
      <c r="CM13" s="640"/>
      <c r="CN13" s="640"/>
      <c r="CO13" s="640"/>
      <c r="CP13" s="640"/>
      <c r="CQ13" s="640"/>
      <c r="CR13" s="640"/>
      <c r="CS13" s="640"/>
      <c r="CT13" s="640"/>
      <c r="CU13" s="640"/>
      <c r="CV13" s="640"/>
      <c r="CW13" s="640"/>
      <c r="CX13" s="640"/>
      <c r="CY13" s="640"/>
      <c r="CZ13" s="640"/>
      <c r="DA13" s="640"/>
      <c r="DB13" s="640"/>
      <c r="DC13" s="640"/>
      <c r="DD13" s="640"/>
      <c r="DE13" s="640"/>
      <c r="DF13" s="640"/>
      <c r="DG13" s="640"/>
      <c r="DH13" s="640"/>
      <c r="DI13" s="640"/>
      <c r="DJ13" s="640"/>
      <c r="DK13" s="640"/>
      <c r="DL13" s="640"/>
      <c r="DM13" s="640"/>
      <c r="DN13" s="640"/>
      <c r="DO13" s="640"/>
      <c r="DP13" s="640"/>
      <c r="DQ13" s="640"/>
      <c r="DR13" s="640"/>
      <c r="DS13" s="640"/>
      <c r="DT13" s="640"/>
      <c r="DU13" s="640"/>
      <c r="DV13" s="640"/>
      <c r="DW13" s="640"/>
      <c r="DX13" s="640"/>
      <c r="DY13" s="640"/>
      <c r="DZ13" s="640"/>
      <c r="EA13" s="640"/>
      <c r="EB13" s="640"/>
      <c r="EC13" s="640"/>
      <c r="ED13" s="640"/>
      <c r="EE13" s="640"/>
      <c r="EF13" s="640"/>
      <c r="EG13" s="640"/>
      <c r="EH13" s="640"/>
      <c r="EI13" s="640"/>
      <c r="EJ13" s="640"/>
      <c r="EK13" s="640"/>
      <c r="EL13" s="640"/>
      <c r="EM13" s="640"/>
      <c r="EN13" s="640"/>
      <c r="EO13" s="640"/>
      <c r="EP13" s="640"/>
      <c r="EQ13" s="640"/>
      <c r="ER13" s="640"/>
      <c r="ES13" s="640"/>
      <c r="ET13" s="640"/>
      <c r="EU13" s="640"/>
      <c r="EV13" s="640"/>
      <c r="EW13" s="640"/>
      <c r="EX13" s="640"/>
      <c r="EY13" s="640"/>
      <c r="EZ13" s="640"/>
      <c r="FA13" s="640"/>
      <c r="FB13" s="640"/>
      <c r="FC13" s="640"/>
      <c r="FD13" s="640"/>
      <c r="FE13" s="640"/>
      <c r="FF13" s="640"/>
      <c r="FG13" s="640"/>
      <c r="FH13" s="640"/>
      <c r="FI13" s="640"/>
      <c r="FJ13" s="640"/>
      <c r="FK13" s="640"/>
      <c r="FL13" s="640"/>
      <c r="FM13" s="640"/>
      <c r="FN13" s="640"/>
      <c r="FO13" s="640"/>
      <c r="FP13" s="640"/>
      <c r="FQ13" s="640"/>
      <c r="FR13" s="640"/>
      <c r="FS13" s="640"/>
      <c r="FT13" s="640"/>
      <c r="FU13" s="640"/>
      <c r="FV13" s="640"/>
      <c r="FW13" s="640"/>
      <c r="FX13" s="640"/>
      <c r="FY13" s="640"/>
      <c r="FZ13" s="640"/>
      <c r="GA13" s="640"/>
      <c r="GB13" s="640"/>
      <c r="GC13" s="640"/>
      <c r="GD13" s="640"/>
      <c r="GE13" s="640"/>
      <c r="GF13" s="640"/>
      <c r="GG13" s="640"/>
      <c r="GH13" s="640"/>
      <c r="GI13" s="640"/>
      <c r="GJ13" s="640"/>
      <c r="GK13" s="640"/>
      <c r="GL13" s="640"/>
      <c r="GM13" s="640"/>
      <c r="GN13" s="640"/>
      <c r="GO13" s="640"/>
      <c r="GP13" s="640"/>
      <c r="GQ13" s="640"/>
      <c r="GR13" s="640"/>
      <c r="GS13" s="640"/>
      <c r="GT13" s="640"/>
      <c r="GU13" s="640"/>
      <c r="GV13" s="640"/>
      <c r="GW13" s="640"/>
      <c r="GX13" s="640"/>
      <c r="GY13" s="640"/>
      <c r="GZ13" s="640"/>
      <c r="HA13" s="640"/>
      <c r="HB13" s="640"/>
      <c r="HC13" s="640"/>
      <c r="HD13" s="640"/>
      <c r="HE13" s="640"/>
      <c r="HF13" s="640"/>
      <c r="HG13" s="640"/>
      <c r="HH13" s="640"/>
      <c r="HI13" s="640"/>
      <c r="HJ13" s="640"/>
      <c r="HK13" s="640"/>
      <c r="HL13" s="640"/>
      <c r="HM13" s="640"/>
      <c r="HN13" s="640"/>
      <c r="HO13" s="640"/>
      <c r="HP13" s="640"/>
      <c r="HQ13" s="640"/>
      <c r="HR13" s="640"/>
      <c r="HS13" s="640"/>
      <c r="HT13" s="640"/>
      <c r="HU13" s="640"/>
      <c r="HV13" s="640"/>
      <c r="HW13" s="640"/>
      <c r="HX13" s="640"/>
      <c r="HY13" s="640"/>
      <c r="HZ13" s="640"/>
      <c r="IA13" s="640"/>
      <c r="IB13" s="640"/>
      <c r="IC13" s="640"/>
      <c r="ID13" s="640"/>
      <c r="IE13" s="640"/>
      <c r="IF13" s="640"/>
      <c r="IG13" s="640"/>
      <c r="IH13" s="640"/>
      <c r="II13" s="640"/>
      <c r="IJ13" s="640"/>
      <c r="IK13" s="640"/>
      <c r="IL13" s="640"/>
      <c r="IM13" s="640"/>
      <c r="IN13" s="640"/>
      <c r="IO13" s="640"/>
      <c r="IP13" s="640"/>
      <c r="IQ13" s="640"/>
      <c r="IR13" s="640"/>
      <c r="IS13" s="640"/>
      <c r="IT13" s="640"/>
      <c r="IU13" s="640"/>
      <c r="IV13" s="640"/>
      <c r="IW13" s="640"/>
      <c r="IX13" s="640"/>
      <c r="IY13" s="640"/>
      <c r="IZ13" s="640"/>
      <c r="JA13" s="640"/>
      <c r="JB13" s="640"/>
      <c r="JC13" s="640"/>
      <c r="JD13" s="640"/>
      <c r="JE13" s="640"/>
      <c r="JF13" s="640"/>
      <c r="JG13" s="640"/>
      <c r="JH13" s="640"/>
      <c r="JI13" s="640"/>
      <c r="JJ13" s="640"/>
      <c r="JK13" s="640"/>
      <c r="JL13" s="640"/>
      <c r="JM13" s="640"/>
      <c r="JN13" s="640"/>
      <c r="JO13" s="640"/>
      <c r="JP13" s="640"/>
      <c r="JQ13" s="640"/>
      <c r="JR13" s="640"/>
      <c r="JS13" s="640"/>
      <c r="JT13" s="640"/>
      <c r="JU13" s="640"/>
      <c r="JV13" s="640"/>
      <c r="JW13" s="640"/>
      <c r="JX13" s="640"/>
      <c r="JY13" s="640"/>
      <c r="JZ13" s="640"/>
      <c r="KA13" s="640"/>
      <c r="KB13" s="640"/>
      <c r="KC13" s="640"/>
      <c r="KD13" s="640"/>
      <c r="KE13" s="640"/>
      <c r="KF13" s="640"/>
      <c r="KG13" s="640"/>
      <c r="KH13" s="640"/>
      <c r="KI13" s="640"/>
      <c r="KJ13" s="640"/>
      <c r="KK13" s="640"/>
      <c r="KL13" s="640"/>
    </row>
    <row r="14" spans="1:298" s="641" customFormat="1" ht="20.100000000000001" customHeight="1" x14ac:dyDescent="0.3">
      <c r="A14" s="637"/>
      <c r="B14" s="1016" t="s">
        <v>1801</v>
      </c>
      <c r="C14" s="1198" t="s">
        <v>561</v>
      </c>
      <c r="D14" s="1198"/>
      <c r="E14" s="1198"/>
      <c r="F14" s="1199"/>
      <c r="G14" s="993"/>
      <c r="H14" s="870"/>
      <c r="I14" s="870"/>
      <c r="J14" s="870"/>
      <c r="K14" s="870"/>
      <c r="L14" s="870"/>
      <c r="M14" s="870"/>
      <c r="N14" s="1001"/>
      <c r="O14" s="870"/>
      <c r="P14" s="870"/>
      <c r="Q14" s="870"/>
      <c r="R14" s="983"/>
      <c r="S14" s="870"/>
      <c r="T14" s="870"/>
      <c r="U14" s="870"/>
      <c r="V14" s="870"/>
      <c r="W14" s="870"/>
      <c r="X14" s="870"/>
      <c r="Y14" s="638"/>
      <c r="Z14" s="630"/>
      <c r="AA14" s="630"/>
      <c r="AB14" s="630"/>
      <c r="AC14" s="630"/>
      <c r="AD14" s="630"/>
      <c r="AE14" s="630"/>
      <c r="AF14" s="630"/>
      <c r="AG14" s="630"/>
      <c r="AH14" s="630"/>
      <c r="AI14" s="630"/>
      <c r="AJ14" s="631"/>
      <c r="AK14" s="861"/>
      <c r="AL14" s="639"/>
      <c r="AM14" s="640"/>
      <c r="AN14" s="640"/>
      <c r="AO14" s="640"/>
      <c r="AP14" s="640"/>
      <c r="AQ14" s="640"/>
      <c r="AR14" s="640"/>
      <c r="AS14" s="640"/>
      <c r="AT14" s="640"/>
      <c r="AU14" s="640"/>
      <c r="AV14" s="640"/>
      <c r="AW14" s="640"/>
      <c r="AX14" s="640"/>
      <c r="AY14" s="640"/>
      <c r="AZ14" s="640"/>
      <c r="BA14" s="640"/>
      <c r="BB14" s="640"/>
      <c r="BC14" s="640"/>
      <c r="BD14" s="640"/>
      <c r="BE14" s="640"/>
      <c r="BF14" s="640"/>
      <c r="BG14" s="640"/>
      <c r="BH14" s="640"/>
      <c r="BI14" s="640"/>
      <c r="BJ14" s="640"/>
      <c r="BK14" s="640"/>
      <c r="BL14" s="640"/>
      <c r="BM14" s="640"/>
      <c r="BN14" s="640"/>
      <c r="BO14" s="640"/>
      <c r="BP14" s="640"/>
      <c r="BQ14" s="640"/>
      <c r="BR14" s="640"/>
      <c r="BS14" s="640"/>
      <c r="BT14" s="640"/>
      <c r="BU14" s="640"/>
      <c r="BV14" s="640"/>
      <c r="BW14" s="640"/>
      <c r="BX14" s="640"/>
      <c r="BY14" s="640"/>
      <c r="BZ14" s="640"/>
      <c r="CA14" s="640"/>
      <c r="CB14" s="640"/>
      <c r="CC14" s="640"/>
      <c r="CD14" s="640"/>
      <c r="CE14" s="640"/>
      <c r="CF14" s="640"/>
      <c r="CG14" s="640"/>
      <c r="CH14" s="640"/>
      <c r="CI14" s="640"/>
      <c r="CJ14" s="640"/>
      <c r="CK14" s="640"/>
      <c r="CL14" s="640"/>
      <c r="CM14" s="640"/>
      <c r="CN14" s="640"/>
      <c r="CO14" s="640"/>
      <c r="CP14" s="640"/>
      <c r="CQ14" s="640"/>
      <c r="CR14" s="640"/>
      <c r="CS14" s="640"/>
      <c r="CT14" s="640"/>
      <c r="CU14" s="640"/>
      <c r="CV14" s="640"/>
      <c r="CW14" s="640"/>
      <c r="CX14" s="640"/>
      <c r="CY14" s="640"/>
      <c r="CZ14" s="640"/>
      <c r="DA14" s="640"/>
      <c r="DB14" s="640"/>
      <c r="DC14" s="640"/>
      <c r="DD14" s="640"/>
      <c r="DE14" s="640"/>
      <c r="DF14" s="640"/>
      <c r="DG14" s="640"/>
      <c r="DH14" s="640"/>
      <c r="DI14" s="640"/>
      <c r="DJ14" s="640"/>
      <c r="DK14" s="640"/>
      <c r="DL14" s="640"/>
      <c r="DM14" s="640"/>
      <c r="DN14" s="640"/>
      <c r="DO14" s="640"/>
      <c r="DP14" s="640"/>
      <c r="DQ14" s="640"/>
      <c r="DR14" s="640"/>
      <c r="DS14" s="640"/>
      <c r="DT14" s="640"/>
      <c r="DU14" s="640"/>
      <c r="DV14" s="640"/>
      <c r="DW14" s="640"/>
      <c r="DX14" s="640"/>
      <c r="DY14" s="640"/>
      <c r="DZ14" s="640"/>
      <c r="EA14" s="640"/>
      <c r="EB14" s="640"/>
      <c r="EC14" s="640"/>
      <c r="ED14" s="640"/>
      <c r="EE14" s="640"/>
      <c r="EF14" s="640"/>
      <c r="EG14" s="640"/>
      <c r="EH14" s="640"/>
      <c r="EI14" s="640"/>
      <c r="EJ14" s="640"/>
      <c r="EK14" s="640"/>
      <c r="EL14" s="640"/>
      <c r="EM14" s="640"/>
      <c r="EN14" s="640"/>
      <c r="EO14" s="640"/>
      <c r="EP14" s="640"/>
      <c r="EQ14" s="640"/>
      <c r="ER14" s="640"/>
      <c r="ES14" s="640"/>
      <c r="ET14" s="640"/>
      <c r="EU14" s="640"/>
      <c r="EV14" s="640"/>
      <c r="EW14" s="640"/>
      <c r="EX14" s="640"/>
      <c r="EY14" s="640"/>
      <c r="EZ14" s="640"/>
      <c r="FA14" s="640"/>
      <c r="FB14" s="640"/>
      <c r="FC14" s="640"/>
      <c r="FD14" s="640"/>
      <c r="FE14" s="640"/>
      <c r="FF14" s="640"/>
      <c r="FG14" s="640"/>
      <c r="FH14" s="640"/>
      <c r="FI14" s="640"/>
      <c r="FJ14" s="640"/>
      <c r="FK14" s="640"/>
      <c r="FL14" s="640"/>
      <c r="FM14" s="640"/>
      <c r="FN14" s="640"/>
      <c r="FO14" s="640"/>
      <c r="FP14" s="640"/>
      <c r="FQ14" s="640"/>
      <c r="FR14" s="640"/>
      <c r="FS14" s="640"/>
      <c r="FT14" s="640"/>
      <c r="FU14" s="640"/>
      <c r="FV14" s="640"/>
      <c r="FW14" s="640"/>
      <c r="FX14" s="640"/>
      <c r="FY14" s="640"/>
      <c r="FZ14" s="640"/>
      <c r="GA14" s="640"/>
      <c r="GB14" s="640"/>
      <c r="GC14" s="640"/>
      <c r="GD14" s="640"/>
      <c r="GE14" s="640"/>
      <c r="GF14" s="640"/>
      <c r="GG14" s="640"/>
      <c r="GH14" s="640"/>
      <c r="GI14" s="640"/>
      <c r="GJ14" s="640"/>
      <c r="GK14" s="640"/>
      <c r="GL14" s="640"/>
      <c r="GM14" s="640"/>
      <c r="GN14" s="640"/>
      <c r="GO14" s="640"/>
      <c r="GP14" s="640"/>
      <c r="GQ14" s="640"/>
      <c r="GR14" s="640"/>
      <c r="GS14" s="640"/>
      <c r="GT14" s="640"/>
      <c r="GU14" s="640"/>
      <c r="GV14" s="640"/>
      <c r="GW14" s="640"/>
      <c r="GX14" s="640"/>
      <c r="GY14" s="640"/>
      <c r="GZ14" s="640"/>
      <c r="HA14" s="640"/>
      <c r="HB14" s="640"/>
      <c r="HC14" s="640"/>
      <c r="HD14" s="640"/>
      <c r="HE14" s="640"/>
      <c r="HF14" s="640"/>
      <c r="HG14" s="640"/>
      <c r="HH14" s="640"/>
      <c r="HI14" s="640"/>
      <c r="HJ14" s="640"/>
      <c r="HK14" s="640"/>
      <c r="HL14" s="640"/>
      <c r="HM14" s="640"/>
      <c r="HN14" s="640"/>
      <c r="HO14" s="640"/>
      <c r="HP14" s="640"/>
      <c r="HQ14" s="640"/>
      <c r="HR14" s="640"/>
      <c r="HS14" s="640"/>
      <c r="HT14" s="640"/>
      <c r="HU14" s="640"/>
      <c r="HV14" s="640"/>
      <c r="HW14" s="640"/>
      <c r="HX14" s="640"/>
      <c r="HY14" s="640"/>
      <c r="HZ14" s="640"/>
      <c r="IA14" s="640"/>
      <c r="IB14" s="640"/>
      <c r="IC14" s="640"/>
      <c r="ID14" s="640"/>
      <c r="IE14" s="640"/>
      <c r="IF14" s="640"/>
      <c r="IG14" s="640"/>
      <c r="IH14" s="640"/>
      <c r="II14" s="640"/>
      <c r="IJ14" s="640"/>
      <c r="IK14" s="640"/>
      <c r="IL14" s="640"/>
      <c r="IM14" s="640"/>
      <c r="IN14" s="640"/>
      <c r="IO14" s="640"/>
      <c r="IP14" s="640"/>
      <c r="IQ14" s="640"/>
      <c r="IR14" s="640"/>
      <c r="IS14" s="640"/>
      <c r="IT14" s="640"/>
      <c r="IU14" s="640"/>
      <c r="IV14" s="640"/>
      <c r="IW14" s="640"/>
      <c r="IX14" s="640"/>
      <c r="IY14" s="640"/>
      <c r="IZ14" s="640"/>
      <c r="JA14" s="640"/>
      <c r="JB14" s="640"/>
      <c r="JC14" s="640"/>
      <c r="JD14" s="640"/>
      <c r="JE14" s="640"/>
      <c r="JF14" s="640"/>
      <c r="JG14" s="640"/>
      <c r="JH14" s="640"/>
      <c r="JI14" s="640"/>
      <c r="JJ14" s="640"/>
      <c r="JK14" s="640"/>
      <c r="JL14" s="640"/>
      <c r="JM14" s="640"/>
      <c r="JN14" s="640"/>
      <c r="JO14" s="640"/>
      <c r="JP14" s="640"/>
      <c r="JQ14" s="640"/>
      <c r="JR14" s="640"/>
      <c r="JS14" s="640"/>
      <c r="JT14" s="640"/>
      <c r="JU14" s="640"/>
      <c r="JV14" s="640"/>
      <c r="JW14" s="640"/>
      <c r="JX14" s="640"/>
      <c r="JY14" s="640"/>
      <c r="JZ14" s="640"/>
      <c r="KA14" s="640"/>
      <c r="KB14" s="640"/>
      <c r="KC14" s="640"/>
      <c r="KD14" s="640"/>
      <c r="KE14" s="640"/>
      <c r="KF14" s="640"/>
      <c r="KG14" s="640"/>
      <c r="KH14" s="640"/>
      <c r="KI14" s="640"/>
      <c r="KJ14" s="640"/>
      <c r="KK14" s="640"/>
      <c r="KL14" s="640"/>
    </row>
    <row r="15" spans="1:298" s="641" customFormat="1" ht="20.100000000000001" customHeight="1" x14ac:dyDescent="0.25">
      <c r="A15" s="637"/>
      <c r="B15" s="1016" t="s">
        <v>1434</v>
      </c>
      <c r="C15" s="1198" t="s">
        <v>1875</v>
      </c>
      <c r="D15" s="1198"/>
      <c r="E15" s="1198"/>
      <c r="F15" s="1199"/>
      <c r="G15" s="993"/>
      <c r="H15" s="870"/>
      <c r="I15" s="984"/>
      <c r="J15" s="870"/>
      <c r="K15" s="870"/>
      <c r="L15" s="870"/>
      <c r="M15" s="870"/>
      <c r="N15" s="870"/>
      <c r="O15" s="1001"/>
      <c r="P15" s="1001"/>
      <c r="Q15" s="1001"/>
      <c r="R15" s="1005"/>
      <c r="S15" s="1001"/>
      <c r="T15" s="1001"/>
      <c r="U15" s="1001"/>
      <c r="V15" s="1001"/>
      <c r="W15" s="1001"/>
      <c r="X15" s="1001"/>
      <c r="Y15" s="638"/>
      <c r="Z15" s="630"/>
      <c r="AA15" s="630"/>
      <c r="AB15" s="630"/>
      <c r="AC15" s="630"/>
      <c r="AD15" s="630"/>
      <c r="AE15" s="630"/>
      <c r="AF15" s="630"/>
      <c r="AG15" s="630"/>
      <c r="AH15" s="630"/>
      <c r="AI15" s="630"/>
      <c r="AJ15" s="631"/>
      <c r="AK15" s="861"/>
      <c r="AL15" s="639"/>
      <c r="AM15" s="640"/>
      <c r="AN15" s="640"/>
      <c r="AO15" s="640"/>
      <c r="AP15" s="640"/>
      <c r="AQ15" s="640"/>
      <c r="AR15" s="640"/>
      <c r="AS15" s="640"/>
      <c r="AT15" s="640"/>
      <c r="AU15" s="640"/>
      <c r="AV15" s="640"/>
      <c r="AW15" s="640"/>
      <c r="AX15" s="640"/>
      <c r="AY15" s="640"/>
      <c r="AZ15" s="640"/>
      <c r="BA15" s="640"/>
      <c r="BB15" s="640"/>
      <c r="BC15" s="640"/>
      <c r="BD15" s="640"/>
      <c r="BE15" s="640"/>
      <c r="BF15" s="640"/>
      <c r="BG15" s="640"/>
      <c r="BH15" s="640"/>
      <c r="BI15" s="640"/>
      <c r="BJ15" s="640"/>
      <c r="BK15" s="640"/>
      <c r="BL15" s="640"/>
      <c r="BM15" s="640"/>
      <c r="BN15" s="640"/>
      <c r="BO15" s="640"/>
      <c r="BP15" s="640"/>
      <c r="BQ15" s="640"/>
      <c r="BR15" s="640"/>
      <c r="BS15" s="640"/>
      <c r="BT15" s="640"/>
      <c r="BU15" s="640"/>
      <c r="BV15" s="640"/>
      <c r="BW15" s="640"/>
      <c r="BX15" s="640"/>
      <c r="BY15" s="640"/>
      <c r="BZ15" s="640"/>
      <c r="CA15" s="640"/>
      <c r="CB15" s="640"/>
      <c r="CC15" s="640"/>
      <c r="CD15" s="640"/>
      <c r="CE15" s="640"/>
      <c r="CF15" s="640"/>
      <c r="CG15" s="640"/>
      <c r="CH15" s="640"/>
      <c r="CI15" s="640"/>
      <c r="CJ15" s="640"/>
      <c r="CK15" s="640"/>
      <c r="CL15" s="640"/>
      <c r="CM15" s="640"/>
      <c r="CN15" s="640"/>
      <c r="CO15" s="640"/>
      <c r="CP15" s="640"/>
      <c r="CQ15" s="640"/>
      <c r="CR15" s="640"/>
      <c r="CS15" s="640"/>
      <c r="CT15" s="640"/>
      <c r="CU15" s="640"/>
      <c r="CV15" s="640"/>
      <c r="CW15" s="640"/>
      <c r="CX15" s="640"/>
      <c r="CY15" s="640"/>
      <c r="CZ15" s="640"/>
      <c r="DA15" s="640"/>
      <c r="DB15" s="640"/>
      <c r="DC15" s="640"/>
      <c r="DD15" s="640"/>
      <c r="DE15" s="640"/>
      <c r="DF15" s="640"/>
      <c r="DG15" s="640"/>
      <c r="DH15" s="640"/>
      <c r="DI15" s="640"/>
      <c r="DJ15" s="640"/>
      <c r="DK15" s="640"/>
      <c r="DL15" s="640"/>
      <c r="DM15" s="640"/>
      <c r="DN15" s="640"/>
      <c r="DO15" s="640"/>
      <c r="DP15" s="640"/>
      <c r="DQ15" s="640"/>
      <c r="DR15" s="640"/>
      <c r="DS15" s="640"/>
      <c r="DT15" s="640"/>
      <c r="DU15" s="640"/>
      <c r="DV15" s="640"/>
      <c r="DW15" s="640"/>
      <c r="DX15" s="640"/>
      <c r="DY15" s="640"/>
      <c r="DZ15" s="640"/>
      <c r="EA15" s="640"/>
      <c r="EB15" s="640"/>
      <c r="EC15" s="640"/>
      <c r="ED15" s="640"/>
      <c r="EE15" s="640"/>
      <c r="EF15" s="640"/>
      <c r="EG15" s="640"/>
      <c r="EH15" s="640"/>
      <c r="EI15" s="640"/>
      <c r="EJ15" s="640"/>
      <c r="EK15" s="640"/>
      <c r="EL15" s="640"/>
      <c r="EM15" s="640"/>
      <c r="EN15" s="640"/>
      <c r="EO15" s="640"/>
      <c r="EP15" s="640"/>
      <c r="EQ15" s="640"/>
      <c r="ER15" s="640"/>
      <c r="ES15" s="640"/>
      <c r="ET15" s="640"/>
      <c r="EU15" s="640"/>
      <c r="EV15" s="640"/>
      <c r="EW15" s="640"/>
      <c r="EX15" s="640"/>
      <c r="EY15" s="640"/>
      <c r="EZ15" s="640"/>
      <c r="FA15" s="640"/>
      <c r="FB15" s="640"/>
      <c r="FC15" s="640"/>
      <c r="FD15" s="640"/>
      <c r="FE15" s="640"/>
      <c r="FF15" s="640"/>
      <c r="FG15" s="640"/>
      <c r="FH15" s="640"/>
      <c r="FI15" s="640"/>
      <c r="FJ15" s="640"/>
      <c r="FK15" s="640"/>
      <c r="FL15" s="640"/>
      <c r="FM15" s="640"/>
      <c r="FN15" s="640"/>
      <c r="FO15" s="640"/>
      <c r="FP15" s="640"/>
      <c r="FQ15" s="640"/>
      <c r="FR15" s="640"/>
      <c r="FS15" s="640"/>
      <c r="FT15" s="640"/>
      <c r="FU15" s="640"/>
      <c r="FV15" s="640"/>
      <c r="FW15" s="640"/>
      <c r="FX15" s="640"/>
      <c r="FY15" s="640"/>
      <c r="FZ15" s="640"/>
      <c r="GA15" s="640"/>
      <c r="GB15" s="640"/>
      <c r="GC15" s="640"/>
      <c r="GD15" s="640"/>
      <c r="GE15" s="640"/>
      <c r="GF15" s="640"/>
      <c r="GG15" s="640"/>
      <c r="GH15" s="640"/>
      <c r="GI15" s="640"/>
      <c r="GJ15" s="640"/>
      <c r="GK15" s="640"/>
      <c r="GL15" s="640"/>
      <c r="GM15" s="640"/>
      <c r="GN15" s="640"/>
      <c r="GO15" s="640"/>
      <c r="GP15" s="640"/>
      <c r="GQ15" s="640"/>
      <c r="GR15" s="640"/>
      <c r="GS15" s="640"/>
      <c r="GT15" s="640"/>
      <c r="GU15" s="640"/>
      <c r="GV15" s="640"/>
      <c r="GW15" s="640"/>
      <c r="GX15" s="640"/>
      <c r="GY15" s="640"/>
      <c r="GZ15" s="640"/>
      <c r="HA15" s="640"/>
      <c r="HB15" s="640"/>
      <c r="HC15" s="640"/>
      <c r="HD15" s="640"/>
      <c r="HE15" s="640"/>
      <c r="HF15" s="640"/>
      <c r="HG15" s="640"/>
      <c r="HH15" s="640"/>
      <c r="HI15" s="640"/>
      <c r="HJ15" s="640"/>
      <c r="HK15" s="640"/>
      <c r="HL15" s="640"/>
      <c r="HM15" s="640"/>
      <c r="HN15" s="640"/>
      <c r="HO15" s="640"/>
      <c r="HP15" s="640"/>
      <c r="HQ15" s="640"/>
      <c r="HR15" s="640"/>
      <c r="HS15" s="640"/>
      <c r="HT15" s="640"/>
      <c r="HU15" s="640"/>
      <c r="HV15" s="640"/>
      <c r="HW15" s="640"/>
      <c r="HX15" s="640"/>
      <c r="HY15" s="640"/>
      <c r="HZ15" s="640"/>
      <c r="IA15" s="640"/>
      <c r="IB15" s="640"/>
      <c r="IC15" s="640"/>
      <c r="ID15" s="640"/>
      <c r="IE15" s="640"/>
      <c r="IF15" s="640"/>
      <c r="IG15" s="640"/>
      <c r="IH15" s="640"/>
      <c r="II15" s="640"/>
      <c r="IJ15" s="640"/>
      <c r="IK15" s="640"/>
      <c r="IL15" s="640"/>
      <c r="IM15" s="640"/>
      <c r="IN15" s="640"/>
      <c r="IO15" s="640"/>
      <c r="IP15" s="640"/>
      <c r="IQ15" s="640"/>
      <c r="IR15" s="640"/>
      <c r="IS15" s="640"/>
      <c r="IT15" s="640"/>
      <c r="IU15" s="640"/>
      <c r="IV15" s="640"/>
      <c r="IW15" s="640"/>
      <c r="IX15" s="640"/>
      <c r="IY15" s="640"/>
      <c r="IZ15" s="640"/>
      <c r="JA15" s="640"/>
      <c r="JB15" s="640"/>
      <c r="JC15" s="640"/>
      <c r="JD15" s="640"/>
      <c r="JE15" s="640"/>
      <c r="JF15" s="640"/>
      <c r="JG15" s="640"/>
      <c r="JH15" s="640"/>
      <c r="JI15" s="640"/>
      <c r="JJ15" s="640"/>
      <c r="JK15" s="640"/>
      <c r="JL15" s="640"/>
      <c r="JM15" s="640"/>
      <c r="JN15" s="640"/>
      <c r="JO15" s="640"/>
      <c r="JP15" s="640"/>
      <c r="JQ15" s="640"/>
      <c r="JR15" s="640"/>
      <c r="JS15" s="640"/>
      <c r="JT15" s="640"/>
      <c r="JU15" s="640"/>
      <c r="JV15" s="640"/>
      <c r="JW15" s="640"/>
      <c r="JX15" s="640"/>
      <c r="JY15" s="640"/>
      <c r="JZ15" s="640"/>
      <c r="KA15" s="640"/>
      <c r="KB15" s="640"/>
      <c r="KC15" s="640"/>
      <c r="KD15" s="640"/>
      <c r="KE15" s="640"/>
      <c r="KF15" s="640"/>
      <c r="KG15" s="640"/>
      <c r="KH15" s="640"/>
      <c r="KI15" s="640"/>
      <c r="KJ15" s="640"/>
      <c r="KK15" s="640"/>
      <c r="KL15" s="640"/>
    </row>
    <row r="16" spans="1:298" s="641" customFormat="1" ht="60" customHeight="1" x14ac:dyDescent="0.3">
      <c r="A16" s="637"/>
      <c r="B16" s="1016" t="s">
        <v>1802</v>
      </c>
      <c r="C16" s="1198" t="s">
        <v>1842</v>
      </c>
      <c r="D16" s="1198"/>
      <c r="E16" s="1198"/>
      <c r="F16" s="1199"/>
      <c r="G16" s="993"/>
      <c r="H16" s="870"/>
      <c r="I16" s="870"/>
      <c r="J16" s="870"/>
      <c r="K16" s="870"/>
      <c r="L16" s="985"/>
      <c r="M16" s="870"/>
      <c r="N16" s="870"/>
      <c r="O16" s="1001"/>
      <c r="P16" s="1001"/>
      <c r="Q16" s="1001"/>
      <c r="R16" s="1001"/>
      <c r="S16" s="1105"/>
      <c r="T16" s="1105"/>
      <c r="U16" s="1105"/>
      <c r="V16" s="1105"/>
      <c r="W16" s="1105"/>
      <c r="X16" s="1105"/>
      <c r="Y16" s="638"/>
      <c r="Z16" s="630"/>
      <c r="AA16" s="630"/>
      <c r="AB16" s="630"/>
      <c r="AC16" s="630"/>
      <c r="AD16" s="630"/>
      <c r="AE16" s="630"/>
      <c r="AF16" s="630"/>
      <c r="AG16" s="630"/>
      <c r="AH16" s="630"/>
      <c r="AI16" s="630"/>
      <c r="AJ16" s="631"/>
      <c r="AK16" s="861"/>
      <c r="AL16" s="639"/>
      <c r="AM16" s="640"/>
      <c r="AN16" s="640"/>
      <c r="AO16" s="640"/>
      <c r="AP16" s="640"/>
      <c r="AQ16" s="640"/>
      <c r="AR16" s="640"/>
      <c r="AS16" s="640"/>
      <c r="AT16" s="640"/>
      <c r="AU16" s="640"/>
      <c r="AV16" s="640"/>
      <c r="AW16" s="640"/>
      <c r="AX16" s="640"/>
      <c r="AY16" s="640"/>
      <c r="AZ16" s="640"/>
      <c r="BA16" s="640"/>
      <c r="BB16" s="640"/>
      <c r="BC16" s="640"/>
      <c r="BD16" s="640"/>
      <c r="BE16" s="640"/>
      <c r="BF16" s="640"/>
      <c r="BG16" s="640"/>
      <c r="BH16" s="640"/>
      <c r="BI16" s="640"/>
      <c r="BJ16" s="640"/>
      <c r="BK16" s="640"/>
      <c r="BL16" s="640"/>
      <c r="BM16" s="640"/>
      <c r="BN16" s="640"/>
      <c r="BO16" s="640"/>
      <c r="BP16" s="640"/>
      <c r="BQ16" s="640"/>
      <c r="BR16" s="640"/>
      <c r="BS16" s="640"/>
      <c r="BT16" s="640"/>
      <c r="BU16" s="640"/>
      <c r="BV16" s="640"/>
      <c r="BW16" s="640"/>
      <c r="BX16" s="640"/>
      <c r="BY16" s="640"/>
      <c r="BZ16" s="640"/>
      <c r="CA16" s="640"/>
      <c r="CB16" s="640"/>
      <c r="CC16" s="640"/>
      <c r="CD16" s="640"/>
      <c r="CE16" s="640"/>
      <c r="CF16" s="640"/>
      <c r="CG16" s="640"/>
      <c r="CH16" s="640"/>
      <c r="CI16" s="640"/>
      <c r="CJ16" s="640"/>
      <c r="CK16" s="640"/>
      <c r="CL16" s="640"/>
      <c r="CM16" s="640"/>
      <c r="CN16" s="640"/>
      <c r="CO16" s="640"/>
      <c r="CP16" s="640"/>
      <c r="CQ16" s="640"/>
      <c r="CR16" s="640"/>
      <c r="CS16" s="640"/>
      <c r="CT16" s="640"/>
      <c r="CU16" s="640"/>
      <c r="CV16" s="640"/>
      <c r="CW16" s="640"/>
      <c r="CX16" s="640"/>
      <c r="CY16" s="640"/>
      <c r="CZ16" s="640"/>
      <c r="DA16" s="640"/>
      <c r="DB16" s="640"/>
      <c r="DC16" s="640"/>
      <c r="DD16" s="640"/>
      <c r="DE16" s="640"/>
      <c r="DF16" s="640"/>
      <c r="DG16" s="640"/>
      <c r="DH16" s="640"/>
      <c r="DI16" s="640"/>
      <c r="DJ16" s="640"/>
      <c r="DK16" s="640"/>
      <c r="DL16" s="640"/>
      <c r="DM16" s="640"/>
      <c r="DN16" s="640"/>
      <c r="DO16" s="640"/>
      <c r="DP16" s="640"/>
      <c r="DQ16" s="640"/>
      <c r="DR16" s="640"/>
      <c r="DS16" s="640"/>
      <c r="DT16" s="640"/>
      <c r="DU16" s="640"/>
      <c r="DV16" s="640"/>
      <c r="DW16" s="640"/>
      <c r="DX16" s="640"/>
      <c r="DY16" s="640"/>
      <c r="DZ16" s="640"/>
      <c r="EA16" s="640"/>
      <c r="EB16" s="640"/>
      <c r="EC16" s="640"/>
      <c r="ED16" s="640"/>
      <c r="EE16" s="640"/>
      <c r="EF16" s="640"/>
      <c r="EG16" s="640"/>
      <c r="EH16" s="640"/>
      <c r="EI16" s="640"/>
      <c r="EJ16" s="640"/>
      <c r="EK16" s="640"/>
      <c r="EL16" s="640"/>
      <c r="EM16" s="640"/>
      <c r="EN16" s="640"/>
      <c r="EO16" s="640"/>
      <c r="EP16" s="640"/>
      <c r="EQ16" s="640"/>
      <c r="ER16" s="640"/>
      <c r="ES16" s="640"/>
      <c r="ET16" s="640"/>
      <c r="EU16" s="640"/>
      <c r="EV16" s="640"/>
      <c r="EW16" s="640"/>
      <c r="EX16" s="640"/>
      <c r="EY16" s="640"/>
      <c r="EZ16" s="640"/>
      <c r="FA16" s="640"/>
      <c r="FB16" s="640"/>
      <c r="FC16" s="640"/>
      <c r="FD16" s="640"/>
      <c r="FE16" s="640"/>
      <c r="FF16" s="640"/>
      <c r="FG16" s="640"/>
      <c r="FH16" s="640"/>
      <c r="FI16" s="640"/>
      <c r="FJ16" s="640"/>
      <c r="FK16" s="640"/>
      <c r="FL16" s="640"/>
      <c r="FM16" s="640"/>
      <c r="FN16" s="640"/>
      <c r="FO16" s="640"/>
      <c r="FP16" s="640"/>
      <c r="FQ16" s="640"/>
      <c r="FR16" s="640"/>
      <c r="FS16" s="640"/>
      <c r="FT16" s="640"/>
      <c r="FU16" s="640"/>
      <c r="FV16" s="640"/>
      <c r="FW16" s="640"/>
      <c r="FX16" s="640"/>
      <c r="FY16" s="640"/>
      <c r="FZ16" s="640"/>
      <c r="GA16" s="640"/>
      <c r="GB16" s="640"/>
      <c r="GC16" s="640"/>
      <c r="GD16" s="640"/>
      <c r="GE16" s="640"/>
      <c r="GF16" s="640"/>
      <c r="GG16" s="640"/>
      <c r="GH16" s="640"/>
      <c r="GI16" s="640"/>
      <c r="GJ16" s="640"/>
      <c r="GK16" s="640"/>
      <c r="GL16" s="640"/>
      <c r="GM16" s="640"/>
      <c r="GN16" s="640"/>
      <c r="GO16" s="640"/>
      <c r="GP16" s="640"/>
      <c r="GQ16" s="640"/>
      <c r="GR16" s="640"/>
      <c r="GS16" s="640"/>
      <c r="GT16" s="640"/>
      <c r="GU16" s="640"/>
      <c r="GV16" s="640"/>
      <c r="GW16" s="640"/>
      <c r="GX16" s="640"/>
      <c r="GY16" s="640"/>
      <c r="GZ16" s="640"/>
      <c r="HA16" s="640"/>
      <c r="HB16" s="640"/>
      <c r="HC16" s="640"/>
      <c r="HD16" s="640"/>
      <c r="HE16" s="640"/>
      <c r="HF16" s="640"/>
      <c r="HG16" s="640"/>
      <c r="HH16" s="640"/>
      <c r="HI16" s="640"/>
      <c r="HJ16" s="640"/>
      <c r="HK16" s="640"/>
      <c r="HL16" s="640"/>
      <c r="HM16" s="640"/>
      <c r="HN16" s="640"/>
      <c r="HO16" s="640"/>
      <c r="HP16" s="640"/>
      <c r="HQ16" s="640"/>
      <c r="HR16" s="640"/>
      <c r="HS16" s="640"/>
      <c r="HT16" s="640"/>
      <c r="HU16" s="640"/>
      <c r="HV16" s="640"/>
      <c r="HW16" s="640"/>
      <c r="HX16" s="640"/>
      <c r="HY16" s="640"/>
      <c r="HZ16" s="640"/>
      <c r="IA16" s="640"/>
      <c r="IB16" s="640"/>
      <c r="IC16" s="640"/>
      <c r="ID16" s="640"/>
      <c r="IE16" s="640"/>
      <c r="IF16" s="640"/>
      <c r="IG16" s="640"/>
      <c r="IH16" s="640"/>
      <c r="II16" s="640"/>
      <c r="IJ16" s="640"/>
      <c r="IK16" s="640"/>
      <c r="IL16" s="640"/>
      <c r="IM16" s="640"/>
      <c r="IN16" s="640"/>
      <c r="IO16" s="640"/>
      <c r="IP16" s="640"/>
      <c r="IQ16" s="640"/>
      <c r="IR16" s="640"/>
      <c r="IS16" s="640"/>
      <c r="IT16" s="640"/>
      <c r="IU16" s="640"/>
      <c r="IV16" s="640"/>
      <c r="IW16" s="640"/>
      <c r="IX16" s="640"/>
      <c r="IY16" s="640"/>
      <c r="IZ16" s="640"/>
      <c r="JA16" s="640"/>
      <c r="JB16" s="640"/>
      <c r="JC16" s="640"/>
      <c r="JD16" s="640"/>
      <c r="JE16" s="640"/>
      <c r="JF16" s="640"/>
      <c r="JG16" s="640"/>
      <c r="JH16" s="640"/>
      <c r="JI16" s="640"/>
      <c r="JJ16" s="640"/>
      <c r="JK16" s="640"/>
      <c r="JL16" s="640"/>
      <c r="JM16" s="640"/>
      <c r="JN16" s="640"/>
      <c r="JO16" s="640"/>
      <c r="JP16" s="640"/>
      <c r="JQ16" s="640"/>
      <c r="JR16" s="640"/>
      <c r="JS16" s="640"/>
      <c r="JT16" s="640"/>
      <c r="JU16" s="640"/>
      <c r="JV16" s="640"/>
      <c r="JW16" s="640"/>
      <c r="JX16" s="640"/>
      <c r="JY16" s="640"/>
      <c r="JZ16" s="640"/>
      <c r="KA16" s="640"/>
      <c r="KB16" s="640"/>
      <c r="KC16" s="640"/>
      <c r="KD16" s="640"/>
      <c r="KE16" s="640"/>
      <c r="KF16" s="640"/>
      <c r="KG16" s="640"/>
      <c r="KH16" s="640"/>
      <c r="KI16" s="640"/>
      <c r="KJ16" s="640"/>
      <c r="KK16" s="640"/>
      <c r="KL16" s="640"/>
    </row>
    <row r="17" spans="1:298" s="641" customFormat="1" ht="20.100000000000001" customHeight="1" x14ac:dyDescent="0.3">
      <c r="A17" s="637"/>
      <c r="B17" s="1016" t="s">
        <v>1435</v>
      </c>
      <c r="C17" s="1198" t="s">
        <v>1860</v>
      </c>
      <c r="D17" s="1198"/>
      <c r="E17" s="1198"/>
      <c r="F17" s="1199"/>
      <c r="G17" s="993"/>
      <c r="H17" s="870"/>
      <c r="I17" s="870"/>
      <c r="J17" s="870"/>
      <c r="K17" s="870"/>
      <c r="L17" s="870"/>
      <c r="M17" s="870"/>
      <c r="N17" s="870"/>
      <c r="O17" s="870"/>
      <c r="P17" s="870"/>
      <c r="Q17" s="870"/>
      <c r="R17" s="881"/>
      <c r="S17" s="880"/>
      <c r="T17" s="870"/>
      <c r="U17" s="870"/>
      <c r="V17" s="870"/>
      <c r="W17" s="870"/>
      <c r="X17" s="993"/>
      <c r="Y17" s="638"/>
      <c r="Z17" s="630"/>
      <c r="AA17" s="630"/>
      <c r="AB17" s="630"/>
      <c r="AC17" s="630"/>
      <c r="AD17" s="630"/>
      <c r="AE17" s="630"/>
      <c r="AF17" s="630"/>
      <c r="AG17" s="630"/>
      <c r="AH17" s="630"/>
      <c r="AI17" s="630"/>
      <c r="AJ17" s="631"/>
      <c r="AK17" s="861"/>
      <c r="AL17" s="639"/>
      <c r="AM17" s="640"/>
      <c r="AN17" s="640"/>
      <c r="AO17" s="640"/>
      <c r="AP17" s="640"/>
      <c r="AQ17" s="640"/>
      <c r="AR17" s="640"/>
      <c r="AS17" s="640"/>
      <c r="AT17" s="640"/>
      <c r="AU17" s="640"/>
      <c r="AV17" s="640"/>
      <c r="AW17" s="640"/>
      <c r="AX17" s="640"/>
      <c r="AY17" s="640"/>
      <c r="AZ17" s="640"/>
      <c r="BA17" s="640"/>
      <c r="BB17" s="640"/>
      <c r="BC17" s="640"/>
      <c r="BD17" s="640"/>
      <c r="BE17" s="640"/>
      <c r="BF17" s="640"/>
      <c r="BG17" s="640"/>
      <c r="BH17" s="640"/>
      <c r="BI17" s="640"/>
      <c r="BJ17" s="640"/>
      <c r="BK17" s="640"/>
      <c r="BL17" s="640"/>
      <c r="BM17" s="640"/>
      <c r="BN17" s="640"/>
      <c r="BO17" s="640"/>
      <c r="BP17" s="640"/>
      <c r="BQ17" s="640"/>
      <c r="BR17" s="640"/>
      <c r="BS17" s="640"/>
      <c r="BT17" s="640"/>
      <c r="BU17" s="640"/>
      <c r="BV17" s="640"/>
      <c r="BW17" s="640"/>
      <c r="BX17" s="640"/>
      <c r="BY17" s="640"/>
      <c r="BZ17" s="640"/>
      <c r="CA17" s="640"/>
      <c r="CB17" s="640"/>
      <c r="CC17" s="640"/>
      <c r="CD17" s="640"/>
      <c r="CE17" s="640"/>
      <c r="CF17" s="640"/>
      <c r="CG17" s="640"/>
      <c r="CH17" s="640"/>
      <c r="CI17" s="640"/>
      <c r="CJ17" s="640"/>
      <c r="CK17" s="640"/>
      <c r="CL17" s="640"/>
      <c r="CM17" s="640"/>
      <c r="CN17" s="640"/>
      <c r="CO17" s="640"/>
      <c r="CP17" s="640"/>
      <c r="CQ17" s="640"/>
      <c r="CR17" s="640"/>
      <c r="CS17" s="640"/>
      <c r="CT17" s="640"/>
      <c r="CU17" s="640"/>
      <c r="CV17" s="640"/>
      <c r="CW17" s="640"/>
      <c r="CX17" s="640"/>
      <c r="CY17" s="640"/>
      <c r="CZ17" s="640"/>
      <c r="DA17" s="640"/>
      <c r="DB17" s="640"/>
      <c r="DC17" s="640"/>
      <c r="DD17" s="640"/>
      <c r="DE17" s="640"/>
      <c r="DF17" s="640"/>
      <c r="DG17" s="640"/>
      <c r="DH17" s="640"/>
      <c r="DI17" s="640"/>
      <c r="DJ17" s="640"/>
      <c r="DK17" s="640"/>
      <c r="DL17" s="640"/>
      <c r="DM17" s="640"/>
      <c r="DN17" s="640"/>
      <c r="DO17" s="640"/>
      <c r="DP17" s="640"/>
      <c r="DQ17" s="640"/>
      <c r="DR17" s="640"/>
      <c r="DS17" s="640"/>
      <c r="DT17" s="640"/>
      <c r="DU17" s="640"/>
      <c r="DV17" s="640"/>
      <c r="DW17" s="640"/>
      <c r="DX17" s="640"/>
      <c r="DY17" s="640"/>
      <c r="DZ17" s="640"/>
      <c r="EA17" s="640"/>
      <c r="EB17" s="640"/>
      <c r="EC17" s="640"/>
      <c r="ED17" s="640"/>
      <c r="EE17" s="640"/>
      <c r="EF17" s="640"/>
      <c r="EG17" s="640"/>
      <c r="EH17" s="640"/>
      <c r="EI17" s="640"/>
      <c r="EJ17" s="640"/>
      <c r="EK17" s="640"/>
      <c r="EL17" s="640"/>
      <c r="EM17" s="640"/>
      <c r="EN17" s="640"/>
      <c r="EO17" s="640"/>
      <c r="EP17" s="640"/>
      <c r="EQ17" s="640"/>
      <c r="ER17" s="640"/>
      <c r="ES17" s="640"/>
      <c r="ET17" s="640"/>
      <c r="EU17" s="640"/>
      <c r="EV17" s="640"/>
      <c r="EW17" s="640"/>
      <c r="EX17" s="640"/>
      <c r="EY17" s="640"/>
      <c r="EZ17" s="640"/>
      <c r="FA17" s="640"/>
      <c r="FB17" s="640"/>
      <c r="FC17" s="640"/>
      <c r="FD17" s="640"/>
      <c r="FE17" s="640"/>
      <c r="FF17" s="640"/>
      <c r="FG17" s="640"/>
      <c r="FH17" s="640"/>
      <c r="FI17" s="640"/>
      <c r="FJ17" s="640"/>
      <c r="FK17" s="640"/>
      <c r="FL17" s="640"/>
      <c r="FM17" s="640"/>
      <c r="FN17" s="640"/>
      <c r="FO17" s="640"/>
      <c r="FP17" s="640"/>
      <c r="FQ17" s="640"/>
      <c r="FR17" s="640"/>
      <c r="FS17" s="640"/>
      <c r="FT17" s="640"/>
      <c r="FU17" s="640"/>
      <c r="FV17" s="640"/>
      <c r="FW17" s="640"/>
      <c r="FX17" s="640"/>
      <c r="FY17" s="640"/>
      <c r="FZ17" s="640"/>
      <c r="GA17" s="640"/>
      <c r="GB17" s="640"/>
      <c r="GC17" s="640"/>
      <c r="GD17" s="640"/>
      <c r="GE17" s="640"/>
      <c r="GF17" s="640"/>
      <c r="GG17" s="640"/>
      <c r="GH17" s="640"/>
      <c r="GI17" s="640"/>
      <c r="GJ17" s="640"/>
      <c r="GK17" s="640"/>
      <c r="GL17" s="640"/>
      <c r="GM17" s="640"/>
      <c r="GN17" s="640"/>
      <c r="GO17" s="640"/>
      <c r="GP17" s="640"/>
      <c r="GQ17" s="640"/>
      <c r="GR17" s="640"/>
      <c r="GS17" s="640"/>
      <c r="GT17" s="640"/>
      <c r="GU17" s="640"/>
      <c r="GV17" s="640"/>
      <c r="GW17" s="640"/>
      <c r="GX17" s="640"/>
      <c r="GY17" s="640"/>
      <c r="GZ17" s="640"/>
      <c r="HA17" s="640"/>
      <c r="HB17" s="640"/>
      <c r="HC17" s="640"/>
      <c r="HD17" s="640"/>
      <c r="HE17" s="640"/>
      <c r="HF17" s="640"/>
      <c r="HG17" s="640"/>
      <c r="HH17" s="640"/>
      <c r="HI17" s="640"/>
      <c r="HJ17" s="640"/>
      <c r="HK17" s="640"/>
      <c r="HL17" s="640"/>
      <c r="HM17" s="640"/>
      <c r="HN17" s="640"/>
      <c r="HO17" s="640"/>
      <c r="HP17" s="640"/>
      <c r="HQ17" s="640"/>
      <c r="HR17" s="640"/>
      <c r="HS17" s="640"/>
      <c r="HT17" s="640"/>
      <c r="HU17" s="640"/>
      <c r="HV17" s="640"/>
      <c r="HW17" s="640"/>
      <c r="HX17" s="640"/>
      <c r="HY17" s="640"/>
      <c r="HZ17" s="640"/>
      <c r="IA17" s="640"/>
      <c r="IB17" s="640"/>
      <c r="IC17" s="640"/>
      <c r="ID17" s="640"/>
      <c r="IE17" s="640"/>
      <c r="IF17" s="640"/>
      <c r="IG17" s="640"/>
      <c r="IH17" s="640"/>
      <c r="II17" s="640"/>
      <c r="IJ17" s="640"/>
      <c r="IK17" s="640"/>
      <c r="IL17" s="640"/>
      <c r="IM17" s="640"/>
      <c r="IN17" s="640"/>
      <c r="IO17" s="640"/>
      <c r="IP17" s="640"/>
      <c r="IQ17" s="640"/>
      <c r="IR17" s="640"/>
      <c r="IS17" s="640"/>
      <c r="IT17" s="640"/>
      <c r="IU17" s="640"/>
      <c r="IV17" s="640"/>
      <c r="IW17" s="640"/>
      <c r="IX17" s="640"/>
      <c r="IY17" s="640"/>
      <c r="IZ17" s="640"/>
      <c r="JA17" s="640"/>
      <c r="JB17" s="640"/>
      <c r="JC17" s="640"/>
      <c r="JD17" s="640"/>
      <c r="JE17" s="640"/>
      <c r="JF17" s="640"/>
      <c r="JG17" s="640"/>
      <c r="JH17" s="640"/>
      <c r="JI17" s="640"/>
      <c r="JJ17" s="640"/>
      <c r="JK17" s="640"/>
      <c r="JL17" s="640"/>
      <c r="JM17" s="640"/>
      <c r="JN17" s="640"/>
      <c r="JO17" s="640"/>
      <c r="JP17" s="640"/>
      <c r="JQ17" s="640"/>
      <c r="JR17" s="640"/>
      <c r="JS17" s="640"/>
      <c r="JT17" s="640"/>
      <c r="JU17" s="640"/>
      <c r="JV17" s="640"/>
      <c r="JW17" s="640"/>
      <c r="JX17" s="640"/>
      <c r="JY17" s="640"/>
      <c r="JZ17" s="640"/>
      <c r="KA17" s="640"/>
      <c r="KB17" s="640"/>
      <c r="KC17" s="640"/>
      <c r="KD17" s="640"/>
      <c r="KE17" s="640"/>
      <c r="KF17" s="640"/>
      <c r="KG17" s="640"/>
      <c r="KH17" s="640"/>
      <c r="KI17" s="640"/>
      <c r="KJ17" s="640"/>
      <c r="KK17" s="640"/>
      <c r="KL17" s="640"/>
    </row>
    <row r="18" spans="1:298" ht="20.100000000000001" customHeight="1" x14ac:dyDescent="0.25">
      <c r="A18" s="611"/>
      <c r="B18" s="1015">
        <v>3</v>
      </c>
      <c r="C18" s="1187" t="s">
        <v>562</v>
      </c>
      <c r="D18" s="1187"/>
      <c r="E18" s="1187"/>
      <c r="F18" s="1188"/>
      <c r="G18" s="867"/>
      <c r="H18" s="867"/>
      <c r="I18" s="867"/>
      <c r="J18" s="867"/>
      <c r="K18" s="867"/>
      <c r="L18" s="867"/>
      <c r="M18" s="867"/>
      <c r="N18" s="867"/>
      <c r="O18" s="867"/>
      <c r="P18" s="867"/>
      <c r="Q18" s="867"/>
      <c r="R18" s="868"/>
      <c r="S18" s="1022"/>
      <c r="T18" s="869"/>
      <c r="U18" s="869"/>
      <c r="V18" s="869"/>
      <c r="W18" s="869"/>
      <c r="X18" s="869"/>
      <c r="Y18" s="635"/>
      <c r="Z18" s="635"/>
      <c r="AA18" s="635"/>
      <c r="AB18" s="635"/>
      <c r="AC18" s="635"/>
      <c r="AD18" s="635"/>
      <c r="AE18" s="635"/>
      <c r="AF18" s="635"/>
      <c r="AG18" s="635"/>
      <c r="AH18" s="635"/>
      <c r="AI18" s="635"/>
      <c r="AJ18" s="636"/>
      <c r="AK18" s="862"/>
      <c r="AM18" s="860"/>
      <c r="AO18" s="860"/>
    </row>
    <row r="19" spans="1:298" s="647" customFormat="1" ht="20.100000000000001" customHeight="1" x14ac:dyDescent="0.3">
      <c r="A19" s="611"/>
      <c r="B19" s="1016" t="s">
        <v>31</v>
      </c>
      <c r="C19" s="1185" t="s">
        <v>1799</v>
      </c>
      <c r="D19" s="1185"/>
      <c r="E19" s="1185"/>
      <c r="F19" s="1186"/>
      <c r="G19" s="1004"/>
      <c r="H19" s="1004"/>
      <c r="I19" s="1004"/>
      <c r="J19" s="1004"/>
      <c r="K19" s="1004"/>
      <c r="L19" s="1004"/>
      <c r="M19" s="1004"/>
      <c r="N19" s="1004"/>
      <c r="O19" s="1004"/>
      <c r="P19" s="1004"/>
      <c r="Q19" s="1004"/>
      <c r="R19" s="1023"/>
      <c r="S19" s="1021"/>
      <c r="T19" s="1004"/>
      <c r="U19" s="1004"/>
      <c r="V19" s="1004"/>
      <c r="W19" s="1004"/>
      <c r="X19" s="1004"/>
      <c r="Y19" s="644"/>
      <c r="Z19" s="628"/>
      <c r="AA19" s="628"/>
      <c r="AB19" s="628"/>
      <c r="AC19" s="628"/>
      <c r="AD19" s="628"/>
      <c r="AE19" s="628"/>
      <c r="AF19" s="628"/>
      <c r="AG19" s="628"/>
      <c r="AH19" s="628"/>
      <c r="AI19" s="628"/>
      <c r="AJ19" s="629"/>
      <c r="AK19" s="861"/>
      <c r="AL19" s="645"/>
      <c r="AM19" s="646"/>
      <c r="AN19" s="646"/>
      <c r="AO19" s="646"/>
      <c r="AP19" s="646"/>
      <c r="AQ19" s="646"/>
      <c r="AR19" s="646"/>
      <c r="AS19" s="646"/>
      <c r="AT19" s="646"/>
      <c r="AU19" s="646"/>
      <c r="AV19" s="646"/>
      <c r="AW19" s="646"/>
      <c r="AX19" s="646"/>
      <c r="AY19" s="646"/>
      <c r="AZ19" s="646"/>
      <c r="BA19" s="646"/>
      <c r="BB19" s="646"/>
      <c r="BC19" s="646"/>
      <c r="BD19" s="646"/>
      <c r="BE19" s="646"/>
      <c r="BF19" s="646"/>
      <c r="BG19" s="646"/>
      <c r="BH19" s="646"/>
      <c r="BI19" s="646"/>
      <c r="BJ19" s="646"/>
      <c r="BK19" s="646"/>
      <c r="BL19" s="646"/>
      <c r="BM19" s="646"/>
      <c r="BN19" s="646"/>
      <c r="BO19" s="646"/>
      <c r="BP19" s="646"/>
      <c r="BQ19" s="646"/>
      <c r="BR19" s="646"/>
      <c r="BS19" s="646"/>
      <c r="BT19" s="646"/>
      <c r="BU19" s="646"/>
      <c r="BV19" s="646"/>
      <c r="BW19" s="646"/>
      <c r="BX19" s="646"/>
      <c r="BY19" s="646"/>
      <c r="BZ19" s="646"/>
      <c r="CA19" s="646"/>
      <c r="CB19" s="646"/>
      <c r="CC19" s="646"/>
      <c r="CD19" s="646"/>
      <c r="CE19" s="646"/>
      <c r="CF19" s="646"/>
      <c r="CG19" s="646"/>
      <c r="CH19" s="646"/>
      <c r="CI19" s="646"/>
      <c r="CJ19" s="646"/>
      <c r="CK19" s="646"/>
      <c r="CL19" s="646"/>
      <c r="CM19" s="646"/>
      <c r="CN19" s="646"/>
      <c r="CO19" s="646"/>
      <c r="CP19" s="646"/>
      <c r="CQ19" s="646"/>
      <c r="CR19" s="646"/>
      <c r="CS19" s="646"/>
      <c r="CT19" s="646"/>
      <c r="CU19" s="646"/>
      <c r="CV19" s="646"/>
      <c r="CW19" s="646"/>
      <c r="CX19" s="646"/>
      <c r="CY19" s="646"/>
      <c r="CZ19" s="646"/>
      <c r="DA19" s="646"/>
      <c r="DB19" s="646"/>
      <c r="DC19" s="646"/>
      <c r="DD19" s="646"/>
      <c r="DE19" s="646"/>
      <c r="DF19" s="646"/>
      <c r="DG19" s="646"/>
      <c r="DH19" s="646"/>
      <c r="DI19" s="646"/>
      <c r="DJ19" s="646"/>
      <c r="DK19" s="646"/>
      <c r="DL19" s="646"/>
      <c r="DM19" s="646"/>
      <c r="DN19" s="646"/>
      <c r="DO19" s="646"/>
      <c r="DP19" s="646"/>
      <c r="DQ19" s="646"/>
      <c r="DR19" s="646"/>
      <c r="DS19" s="646"/>
      <c r="DT19" s="646"/>
      <c r="DU19" s="646"/>
      <c r="DV19" s="646"/>
      <c r="DW19" s="646"/>
      <c r="DX19" s="646"/>
      <c r="DY19" s="646"/>
      <c r="DZ19" s="646"/>
      <c r="EA19" s="646"/>
      <c r="EB19" s="646"/>
      <c r="EC19" s="646"/>
      <c r="ED19" s="646"/>
      <c r="EE19" s="646"/>
      <c r="EF19" s="646"/>
      <c r="EG19" s="646"/>
      <c r="EH19" s="646"/>
      <c r="EI19" s="646"/>
      <c r="EJ19" s="646"/>
      <c r="EK19" s="646"/>
      <c r="EL19" s="646"/>
      <c r="EM19" s="646"/>
      <c r="EN19" s="646"/>
      <c r="EO19" s="646"/>
      <c r="EP19" s="646"/>
      <c r="EQ19" s="646"/>
      <c r="ER19" s="646"/>
      <c r="ES19" s="646"/>
      <c r="ET19" s="646"/>
      <c r="EU19" s="646"/>
      <c r="EV19" s="646"/>
      <c r="EW19" s="646"/>
      <c r="EX19" s="646"/>
      <c r="EY19" s="646"/>
      <c r="EZ19" s="646"/>
      <c r="FA19" s="646"/>
      <c r="FB19" s="646"/>
      <c r="FC19" s="646"/>
      <c r="FD19" s="646"/>
      <c r="FE19" s="646"/>
      <c r="FF19" s="646"/>
      <c r="FG19" s="646"/>
      <c r="FH19" s="646"/>
      <c r="FI19" s="646"/>
      <c r="FJ19" s="646"/>
      <c r="FK19" s="646"/>
      <c r="FL19" s="646"/>
      <c r="FM19" s="646"/>
      <c r="FN19" s="646"/>
      <c r="FO19" s="646"/>
      <c r="FP19" s="646"/>
      <c r="FQ19" s="646"/>
      <c r="FR19" s="646"/>
      <c r="FS19" s="646"/>
      <c r="FT19" s="646"/>
      <c r="FU19" s="646"/>
      <c r="FV19" s="646"/>
      <c r="FW19" s="646"/>
      <c r="FX19" s="646"/>
      <c r="FY19" s="646"/>
      <c r="FZ19" s="646"/>
      <c r="GA19" s="646"/>
      <c r="GB19" s="646"/>
      <c r="GC19" s="646"/>
      <c r="GD19" s="646"/>
      <c r="GE19" s="646"/>
      <c r="GF19" s="646"/>
      <c r="GG19" s="646"/>
      <c r="GH19" s="646"/>
      <c r="GI19" s="646"/>
      <c r="GJ19" s="646"/>
      <c r="GK19" s="646"/>
      <c r="GL19" s="646"/>
      <c r="GM19" s="646"/>
      <c r="GN19" s="646"/>
      <c r="GO19" s="646"/>
      <c r="GP19" s="646"/>
      <c r="GQ19" s="646"/>
      <c r="GR19" s="646"/>
      <c r="GS19" s="646"/>
      <c r="GT19" s="646"/>
      <c r="GU19" s="646"/>
      <c r="GV19" s="646"/>
      <c r="GW19" s="646"/>
      <c r="GX19" s="646"/>
      <c r="GY19" s="646"/>
      <c r="GZ19" s="646"/>
      <c r="HA19" s="646"/>
      <c r="HB19" s="646"/>
      <c r="HC19" s="646"/>
      <c r="HD19" s="646"/>
      <c r="HE19" s="646"/>
      <c r="HF19" s="646"/>
      <c r="HG19" s="646"/>
      <c r="HH19" s="646"/>
      <c r="HI19" s="646"/>
      <c r="HJ19" s="646"/>
      <c r="HK19" s="646"/>
      <c r="HL19" s="646"/>
      <c r="HM19" s="646"/>
      <c r="HN19" s="646"/>
      <c r="HO19" s="646"/>
      <c r="HP19" s="646"/>
      <c r="HQ19" s="646"/>
      <c r="HR19" s="646"/>
      <c r="HS19" s="646"/>
      <c r="HT19" s="646"/>
      <c r="HU19" s="646"/>
      <c r="HV19" s="646"/>
      <c r="HW19" s="646"/>
      <c r="HX19" s="646"/>
      <c r="HY19" s="646"/>
      <c r="HZ19" s="646"/>
      <c r="IA19" s="646"/>
      <c r="IB19" s="646"/>
      <c r="IC19" s="646"/>
      <c r="ID19" s="646"/>
      <c r="IE19" s="646"/>
      <c r="IF19" s="646"/>
      <c r="IG19" s="646"/>
      <c r="IH19" s="646"/>
      <c r="II19" s="646"/>
      <c r="IJ19" s="646"/>
      <c r="IK19" s="646"/>
      <c r="IL19" s="646"/>
      <c r="IM19" s="646"/>
      <c r="IN19" s="646"/>
      <c r="IO19" s="646"/>
      <c r="IP19" s="646"/>
      <c r="IQ19" s="646"/>
      <c r="IR19" s="646"/>
      <c r="IS19" s="646"/>
      <c r="IT19" s="646"/>
      <c r="IU19" s="646"/>
      <c r="IV19" s="646"/>
      <c r="IW19" s="646"/>
      <c r="IX19" s="646"/>
      <c r="IY19" s="646"/>
      <c r="IZ19" s="646"/>
      <c r="JA19" s="646"/>
      <c r="JB19" s="646"/>
      <c r="JC19" s="646"/>
      <c r="JD19" s="646"/>
      <c r="JE19" s="646"/>
      <c r="JF19" s="646"/>
      <c r="JG19" s="646"/>
      <c r="JH19" s="646"/>
      <c r="JI19" s="646"/>
      <c r="JJ19" s="646"/>
      <c r="JK19" s="646"/>
      <c r="JL19" s="646"/>
      <c r="JM19" s="646"/>
      <c r="JN19" s="646"/>
      <c r="JO19" s="646"/>
      <c r="JP19" s="646"/>
      <c r="JQ19" s="646"/>
      <c r="JR19" s="646"/>
      <c r="JS19" s="646"/>
      <c r="JT19" s="646"/>
      <c r="JU19" s="646"/>
      <c r="JV19" s="646"/>
      <c r="JW19" s="646"/>
      <c r="JX19" s="646"/>
      <c r="JY19" s="646"/>
      <c r="JZ19" s="646"/>
      <c r="KA19" s="646"/>
      <c r="KB19" s="646"/>
      <c r="KC19" s="646"/>
      <c r="KD19" s="646"/>
      <c r="KE19" s="646"/>
      <c r="KF19" s="646"/>
      <c r="KG19" s="646"/>
      <c r="KH19" s="646"/>
      <c r="KI19" s="646"/>
      <c r="KJ19" s="646"/>
      <c r="KK19" s="646"/>
      <c r="KL19" s="646"/>
    </row>
    <row r="20" spans="1:298" s="647" customFormat="1" ht="20.100000000000001" customHeight="1" x14ac:dyDescent="0.3">
      <c r="A20" s="611"/>
      <c r="B20" s="1016" t="s">
        <v>32</v>
      </c>
      <c r="C20" s="1185" t="s">
        <v>564</v>
      </c>
      <c r="D20" s="1185"/>
      <c r="E20" s="1185"/>
      <c r="F20" s="1186"/>
      <c r="G20" s="1018"/>
      <c r="H20" s="872"/>
      <c r="I20" s="872"/>
      <c r="J20" s="872"/>
      <c r="K20" s="1006"/>
      <c r="L20" s="986"/>
      <c r="M20" s="872"/>
      <c r="N20" s="987"/>
      <c r="O20" s="1001"/>
      <c r="P20" s="870"/>
      <c r="Q20" s="988"/>
      <c r="R20" s="989"/>
      <c r="S20" s="1004"/>
      <c r="T20" s="870"/>
      <c r="U20" s="870"/>
      <c r="V20" s="870"/>
      <c r="W20" s="870"/>
      <c r="X20" s="870"/>
      <c r="Y20" s="644"/>
      <c r="Z20" s="628"/>
      <c r="AA20" s="628"/>
      <c r="AB20" s="628"/>
      <c r="AC20" s="628"/>
      <c r="AD20" s="628"/>
      <c r="AE20" s="628"/>
      <c r="AF20" s="628"/>
      <c r="AG20" s="628"/>
      <c r="AH20" s="628"/>
      <c r="AI20" s="628"/>
      <c r="AJ20" s="629"/>
      <c r="AK20" s="861"/>
      <c r="AL20" s="645"/>
      <c r="AM20" s="646"/>
      <c r="AN20" s="646"/>
      <c r="AO20" s="646"/>
      <c r="AP20" s="646"/>
      <c r="AQ20" s="646"/>
      <c r="AR20" s="646"/>
      <c r="AS20" s="646"/>
      <c r="AT20" s="646"/>
      <c r="AU20" s="646"/>
      <c r="AV20" s="646"/>
      <c r="AW20" s="646"/>
      <c r="AX20" s="646"/>
      <c r="AY20" s="646"/>
      <c r="AZ20" s="646"/>
      <c r="BA20" s="646"/>
      <c r="BB20" s="646"/>
      <c r="BC20" s="646"/>
      <c r="BD20" s="646"/>
      <c r="BE20" s="646"/>
      <c r="BF20" s="646"/>
      <c r="BG20" s="646"/>
      <c r="BH20" s="646"/>
      <c r="BI20" s="646"/>
      <c r="BJ20" s="646"/>
      <c r="BK20" s="646"/>
      <c r="BL20" s="646"/>
      <c r="BM20" s="646"/>
      <c r="BN20" s="646"/>
      <c r="BO20" s="646"/>
      <c r="BP20" s="646"/>
      <c r="BQ20" s="646"/>
      <c r="BR20" s="646"/>
      <c r="BS20" s="646"/>
      <c r="BT20" s="646"/>
      <c r="BU20" s="646"/>
      <c r="BV20" s="646"/>
      <c r="BW20" s="646"/>
      <c r="BX20" s="646"/>
      <c r="BY20" s="646"/>
      <c r="BZ20" s="646"/>
      <c r="CA20" s="646"/>
      <c r="CB20" s="646"/>
      <c r="CC20" s="646"/>
      <c r="CD20" s="646"/>
      <c r="CE20" s="646"/>
      <c r="CF20" s="646"/>
      <c r="CG20" s="646"/>
      <c r="CH20" s="646"/>
      <c r="CI20" s="646"/>
      <c r="CJ20" s="646"/>
      <c r="CK20" s="646"/>
      <c r="CL20" s="646"/>
      <c r="CM20" s="646"/>
      <c r="CN20" s="646"/>
      <c r="CO20" s="646"/>
      <c r="CP20" s="646"/>
      <c r="CQ20" s="646"/>
      <c r="CR20" s="646"/>
      <c r="CS20" s="646"/>
      <c r="CT20" s="646"/>
      <c r="CU20" s="646"/>
      <c r="CV20" s="646"/>
      <c r="CW20" s="646"/>
      <c r="CX20" s="646"/>
      <c r="CY20" s="646"/>
      <c r="CZ20" s="646"/>
      <c r="DA20" s="646"/>
      <c r="DB20" s="646"/>
      <c r="DC20" s="646"/>
      <c r="DD20" s="646"/>
      <c r="DE20" s="646"/>
      <c r="DF20" s="646"/>
      <c r="DG20" s="646"/>
      <c r="DH20" s="646"/>
      <c r="DI20" s="646"/>
      <c r="DJ20" s="646"/>
      <c r="DK20" s="646"/>
      <c r="DL20" s="646"/>
      <c r="DM20" s="646"/>
      <c r="DN20" s="646"/>
      <c r="DO20" s="646"/>
      <c r="DP20" s="646"/>
      <c r="DQ20" s="646"/>
      <c r="DR20" s="646"/>
      <c r="DS20" s="646"/>
      <c r="DT20" s="646"/>
      <c r="DU20" s="646"/>
      <c r="DV20" s="646"/>
      <c r="DW20" s="646"/>
      <c r="DX20" s="646"/>
      <c r="DY20" s="646"/>
      <c r="DZ20" s="646"/>
      <c r="EA20" s="646"/>
      <c r="EB20" s="646"/>
      <c r="EC20" s="646"/>
      <c r="ED20" s="646"/>
      <c r="EE20" s="646"/>
      <c r="EF20" s="646"/>
      <c r="EG20" s="646"/>
      <c r="EH20" s="646"/>
      <c r="EI20" s="646"/>
      <c r="EJ20" s="646"/>
      <c r="EK20" s="646"/>
      <c r="EL20" s="646"/>
      <c r="EM20" s="646"/>
      <c r="EN20" s="646"/>
      <c r="EO20" s="646"/>
      <c r="EP20" s="646"/>
      <c r="EQ20" s="646"/>
      <c r="ER20" s="646"/>
      <c r="ES20" s="646"/>
      <c r="ET20" s="646"/>
      <c r="EU20" s="646"/>
      <c r="EV20" s="646"/>
      <c r="EW20" s="646"/>
      <c r="EX20" s="646"/>
      <c r="EY20" s="646"/>
      <c r="EZ20" s="646"/>
      <c r="FA20" s="646"/>
      <c r="FB20" s="646"/>
      <c r="FC20" s="646"/>
      <c r="FD20" s="646"/>
      <c r="FE20" s="646"/>
      <c r="FF20" s="646"/>
      <c r="FG20" s="646"/>
      <c r="FH20" s="646"/>
      <c r="FI20" s="646"/>
      <c r="FJ20" s="646"/>
      <c r="FK20" s="646"/>
      <c r="FL20" s="646"/>
      <c r="FM20" s="646"/>
      <c r="FN20" s="646"/>
      <c r="FO20" s="646"/>
      <c r="FP20" s="646"/>
      <c r="FQ20" s="646"/>
      <c r="FR20" s="646"/>
      <c r="FS20" s="646"/>
      <c r="FT20" s="646"/>
      <c r="FU20" s="646"/>
      <c r="FV20" s="646"/>
      <c r="FW20" s="646"/>
      <c r="FX20" s="646"/>
      <c r="FY20" s="646"/>
      <c r="FZ20" s="646"/>
      <c r="GA20" s="646"/>
      <c r="GB20" s="646"/>
      <c r="GC20" s="646"/>
      <c r="GD20" s="646"/>
      <c r="GE20" s="646"/>
      <c r="GF20" s="646"/>
      <c r="GG20" s="646"/>
      <c r="GH20" s="646"/>
      <c r="GI20" s="646"/>
      <c r="GJ20" s="646"/>
      <c r="GK20" s="646"/>
      <c r="GL20" s="646"/>
      <c r="GM20" s="646"/>
      <c r="GN20" s="646"/>
      <c r="GO20" s="646"/>
      <c r="GP20" s="646"/>
      <c r="GQ20" s="646"/>
      <c r="GR20" s="646"/>
      <c r="GS20" s="646"/>
      <c r="GT20" s="646"/>
      <c r="GU20" s="646"/>
      <c r="GV20" s="646"/>
      <c r="GW20" s="646"/>
      <c r="GX20" s="646"/>
      <c r="GY20" s="646"/>
      <c r="GZ20" s="646"/>
      <c r="HA20" s="646"/>
      <c r="HB20" s="646"/>
      <c r="HC20" s="646"/>
      <c r="HD20" s="646"/>
      <c r="HE20" s="646"/>
      <c r="HF20" s="646"/>
      <c r="HG20" s="646"/>
      <c r="HH20" s="646"/>
      <c r="HI20" s="646"/>
      <c r="HJ20" s="646"/>
      <c r="HK20" s="646"/>
      <c r="HL20" s="646"/>
      <c r="HM20" s="646"/>
      <c r="HN20" s="646"/>
      <c r="HO20" s="646"/>
      <c r="HP20" s="646"/>
      <c r="HQ20" s="646"/>
      <c r="HR20" s="646"/>
      <c r="HS20" s="646"/>
      <c r="HT20" s="646"/>
      <c r="HU20" s="646"/>
      <c r="HV20" s="646"/>
      <c r="HW20" s="646"/>
      <c r="HX20" s="646"/>
      <c r="HY20" s="646"/>
      <c r="HZ20" s="646"/>
      <c r="IA20" s="646"/>
      <c r="IB20" s="646"/>
      <c r="IC20" s="646"/>
      <c r="ID20" s="646"/>
      <c r="IE20" s="646"/>
      <c r="IF20" s="646"/>
      <c r="IG20" s="646"/>
      <c r="IH20" s="646"/>
      <c r="II20" s="646"/>
      <c r="IJ20" s="646"/>
      <c r="IK20" s="646"/>
      <c r="IL20" s="646"/>
      <c r="IM20" s="646"/>
      <c r="IN20" s="646"/>
      <c r="IO20" s="646"/>
      <c r="IP20" s="646"/>
      <c r="IQ20" s="646"/>
      <c r="IR20" s="646"/>
      <c r="IS20" s="646"/>
      <c r="IT20" s="646"/>
      <c r="IU20" s="646"/>
      <c r="IV20" s="646"/>
      <c r="IW20" s="646"/>
      <c r="IX20" s="646"/>
      <c r="IY20" s="646"/>
      <c r="IZ20" s="646"/>
      <c r="JA20" s="646"/>
      <c r="JB20" s="646"/>
      <c r="JC20" s="646"/>
      <c r="JD20" s="646"/>
      <c r="JE20" s="646"/>
      <c r="JF20" s="646"/>
      <c r="JG20" s="646"/>
      <c r="JH20" s="646"/>
      <c r="JI20" s="646"/>
      <c r="JJ20" s="646"/>
      <c r="JK20" s="646"/>
      <c r="JL20" s="646"/>
      <c r="JM20" s="646"/>
      <c r="JN20" s="646"/>
      <c r="JO20" s="646"/>
      <c r="JP20" s="646"/>
      <c r="JQ20" s="646"/>
      <c r="JR20" s="646"/>
      <c r="JS20" s="646"/>
      <c r="JT20" s="646"/>
      <c r="JU20" s="646"/>
      <c r="JV20" s="646"/>
      <c r="JW20" s="646"/>
      <c r="JX20" s="646"/>
      <c r="JY20" s="646"/>
      <c r="JZ20" s="646"/>
      <c r="KA20" s="646"/>
      <c r="KB20" s="646"/>
      <c r="KC20" s="646"/>
      <c r="KD20" s="646"/>
      <c r="KE20" s="646"/>
      <c r="KF20" s="646"/>
      <c r="KG20" s="646"/>
      <c r="KH20" s="646"/>
      <c r="KI20" s="646"/>
      <c r="KJ20" s="646"/>
      <c r="KK20" s="646"/>
      <c r="KL20" s="646"/>
    </row>
    <row r="21" spans="1:298" s="647" customFormat="1" ht="20.100000000000001" customHeight="1" x14ac:dyDescent="0.3">
      <c r="A21" s="611"/>
      <c r="B21" s="1016" t="s">
        <v>1843</v>
      </c>
      <c r="C21" s="1185" t="s">
        <v>565</v>
      </c>
      <c r="D21" s="1185"/>
      <c r="E21" s="1185"/>
      <c r="F21" s="1186"/>
      <c r="G21" s="1018"/>
      <c r="H21" s="872"/>
      <c r="I21" s="872"/>
      <c r="J21" s="872"/>
      <c r="K21" s="987"/>
      <c r="L21" s="986"/>
      <c r="M21" s="870"/>
      <c r="N21" s="870"/>
      <c r="O21" s="1001"/>
      <c r="P21" s="986"/>
      <c r="Q21" s="986"/>
      <c r="R21" s="1007"/>
      <c r="S21" s="1004"/>
      <c r="T21" s="1004"/>
      <c r="U21" s="1004"/>
      <c r="V21" s="1004"/>
      <c r="W21" s="1004"/>
      <c r="X21" s="1004"/>
      <c r="Y21" s="648"/>
      <c r="Z21" s="630"/>
      <c r="AA21" s="630"/>
      <c r="AB21" s="630"/>
      <c r="AC21" s="630"/>
      <c r="AD21" s="630"/>
      <c r="AE21" s="630"/>
      <c r="AF21" s="630"/>
      <c r="AG21" s="630"/>
      <c r="AH21" s="630"/>
      <c r="AI21" s="630"/>
      <c r="AJ21" s="631"/>
      <c r="AK21" s="861"/>
      <c r="AL21" s="645"/>
      <c r="AM21" s="646"/>
      <c r="AN21" s="646"/>
      <c r="AO21" s="646"/>
      <c r="AP21" s="646"/>
      <c r="AQ21" s="646"/>
      <c r="AR21" s="646"/>
      <c r="AS21" s="646"/>
      <c r="AT21" s="646"/>
      <c r="AU21" s="646"/>
      <c r="AV21" s="646"/>
      <c r="AW21" s="646"/>
      <c r="AX21" s="646"/>
      <c r="AY21" s="646"/>
      <c r="AZ21" s="646"/>
      <c r="BA21" s="646"/>
      <c r="BB21" s="646"/>
      <c r="BC21" s="646"/>
      <c r="BD21" s="646"/>
      <c r="BE21" s="646"/>
      <c r="BF21" s="646"/>
      <c r="BG21" s="646"/>
      <c r="BH21" s="646"/>
      <c r="BI21" s="646"/>
      <c r="BJ21" s="646"/>
      <c r="BK21" s="646"/>
      <c r="BL21" s="646"/>
      <c r="BM21" s="646"/>
      <c r="BN21" s="646"/>
      <c r="BO21" s="646"/>
      <c r="BP21" s="646"/>
      <c r="BQ21" s="646"/>
      <c r="BR21" s="646"/>
      <c r="BS21" s="646"/>
      <c r="BT21" s="646"/>
      <c r="BU21" s="646"/>
      <c r="BV21" s="646"/>
      <c r="BW21" s="646"/>
      <c r="BX21" s="646"/>
      <c r="BY21" s="646"/>
      <c r="BZ21" s="646"/>
      <c r="CA21" s="646"/>
      <c r="CB21" s="646"/>
      <c r="CC21" s="646"/>
      <c r="CD21" s="646"/>
      <c r="CE21" s="646"/>
      <c r="CF21" s="646"/>
      <c r="CG21" s="646"/>
      <c r="CH21" s="646"/>
      <c r="CI21" s="646"/>
      <c r="CJ21" s="646"/>
      <c r="CK21" s="646"/>
      <c r="CL21" s="646"/>
      <c r="CM21" s="646"/>
      <c r="CN21" s="646"/>
      <c r="CO21" s="646"/>
      <c r="CP21" s="646"/>
      <c r="CQ21" s="646"/>
      <c r="CR21" s="646"/>
      <c r="CS21" s="646"/>
      <c r="CT21" s="646"/>
      <c r="CU21" s="646"/>
      <c r="CV21" s="646"/>
      <c r="CW21" s="646"/>
      <c r="CX21" s="646"/>
      <c r="CY21" s="646"/>
      <c r="CZ21" s="646"/>
      <c r="DA21" s="646"/>
      <c r="DB21" s="646"/>
      <c r="DC21" s="646"/>
      <c r="DD21" s="646"/>
      <c r="DE21" s="646"/>
      <c r="DF21" s="646"/>
      <c r="DG21" s="646"/>
      <c r="DH21" s="646"/>
      <c r="DI21" s="646"/>
      <c r="DJ21" s="646"/>
      <c r="DK21" s="646"/>
      <c r="DL21" s="646"/>
      <c r="DM21" s="646"/>
      <c r="DN21" s="646"/>
      <c r="DO21" s="646"/>
      <c r="DP21" s="646"/>
      <c r="DQ21" s="646"/>
      <c r="DR21" s="646"/>
      <c r="DS21" s="646"/>
      <c r="DT21" s="646"/>
      <c r="DU21" s="646"/>
      <c r="DV21" s="646"/>
      <c r="DW21" s="646"/>
      <c r="DX21" s="646"/>
      <c r="DY21" s="646"/>
      <c r="DZ21" s="646"/>
      <c r="EA21" s="646"/>
      <c r="EB21" s="646"/>
      <c r="EC21" s="646"/>
      <c r="ED21" s="646"/>
      <c r="EE21" s="646"/>
      <c r="EF21" s="646"/>
      <c r="EG21" s="646"/>
      <c r="EH21" s="646"/>
      <c r="EI21" s="646"/>
      <c r="EJ21" s="646"/>
      <c r="EK21" s="646"/>
      <c r="EL21" s="646"/>
      <c r="EM21" s="646"/>
      <c r="EN21" s="646"/>
      <c r="EO21" s="646"/>
      <c r="EP21" s="646"/>
      <c r="EQ21" s="646"/>
      <c r="ER21" s="646"/>
      <c r="ES21" s="646"/>
      <c r="ET21" s="646"/>
      <c r="EU21" s="646"/>
      <c r="EV21" s="646"/>
      <c r="EW21" s="646"/>
      <c r="EX21" s="646"/>
      <c r="EY21" s="646"/>
      <c r="EZ21" s="646"/>
      <c r="FA21" s="646"/>
      <c r="FB21" s="646"/>
      <c r="FC21" s="646"/>
      <c r="FD21" s="646"/>
      <c r="FE21" s="646"/>
      <c r="FF21" s="646"/>
      <c r="FG21" s="646"/>
      <c r="FH21" s="646"/>
      <c r="FI21" s="646"/>
      <c r="FJ21" s="646"/>
      <c r="FK21" s="646"/>
      <c r="FL21" s="646"/>
      <c r="FM21" s="646"/>
      <c r="FN21" s="646"/>
      <c r="FO21" s="646"/>
      <c r="FP21" s="646"/>
      <c r="FQ21" s="646"/>
      <c r="FR21" s="646"/>
      <c r="FS21" s="646"/>
      <c r="FT21" s="646"/>
      <c r="FU21" s="646"/>
      <c r="FV21" s="646"/>
      <c r="FW21" s="646"/>
      <c r="FX21" s="646"/>
      <c r="FY21" s="646"/>
      <c r="FZ21" s="646"/>
      <c r="GA21" s="646"/>
      <c r="GB21" s="646"/>
      <c r="GC21" s="646"/>
      <c r="GD21" s="646"/>
      <c r="GE21" s="646"/>
      <c r="GF21" s="646"/>
      <c r="GG21" s="646"/>
      <c r="GH21" s="646"/>
      <c r="GI21" s="646"/>
      <c r="GJ21" s="646"/>
      <c r="GK21" s="646"/>
      <c r="GL21" s="646"/>
      <c r="GM21" s="646"/>
      <c r="GN21" s="646"/>
      <c r="GO21" s="646"/>
      <c r="GP21" s="646"/>
      <c r="GQ21" s="646"/>
      <c r="GR21" s="646"/>
      <c r="GS21" s="646"/>
      <c r="GT21" s="646"/>
      <c r="GU21" s="646"/>
      <c r="GV21" s="646"/>
      <c r="GW21" s="646"/>
      <c r="GX21" s="646"/>
      <c r="GY21" s="646"/>
      <c r="GZ21" s="646"/>
      <c r="HA21" s="646"/>
      <c r="HB21" s="646"/>
      <c r="HC21" s="646"/>
      <c r="HD21" s="646"/>
      <c r="HE21" s="646"/>
      <c r="HF21" s="646"/>
      <c r="HG21" s="646"/>
      <c r="HH21" s="646"/>
      <c r="HI21" s="646"/>
      <c r="HJ21" s="646"/>
      <c r="HK21" s="646"/>
      <c r="HL21" s="646"/>
      <c r="HM21" s="646"/>
      <c r="HN21" s="646"/>
      <c r="HO21" s="646"/>
      <c r="HP21" s="646"/>
      <c r="HQ21" s="646"/>
      <c r="HR21" s="646"/>
      <c r="HS21" s="646"/>
      <c r="HT21" s="646"/>
      <c r="HU21" s="646"/>
      <c r="HV21" s="646"/>
      <c r="HW21" s="646"/>
      <c r="HX21" s="646"/>
      <c r="HY21" s="646"/>
      <c r="HZ21" s="646"/>
      <c r="IA21" s="646"/>
      <c r="IB21" s="646"/>
      <c r="IC21" s="646"/>
      <c r="ID21" s="646"/>
      <c r="IE21" s="646"/>
      <c r="IF21" s="646"/>
      <c r="IG21" s="646"/>
      <c r="IH21" s="646"/>
      <c r="II21" s="646"/>
      <c r="IJ21" s="646"/>
      <c r="IK21" s="646"/>
      <c r="IL21" s="646"/>
      <c r="IM21" s="646"/>
      <c r="IN21" s="646"/>
      <c r="IO21" s="646"/>
      <c r="IP21" s="646"/>
      <c r="IQ21" s="646"/>
      <c r="IR21" s="646"/>
      <c r="IS21" s="646"/>
      <c r="IT21" s="646"/>
      <c r="IU21" s="646"/>
      <c r="IV21" s="646"/>
      <c r="IW21" s="646"/>
      <c r="IX21" s="646"/>
      <c r="IY21" s="646"/>
      <c r="IZ21" s="646"/>
      <c r="JA21" s="646"/>
      <c r="JB21" s="646"/>
      <c r="JC21" s="646"/>
      <c r="JD21" s="646"/>
      <c r="JE21" s="646"/>
      <c r="JF21" s="646"/>
      <c r="JG21" s="646"/>
      <c r="JH21" s="646"/>
      <c r="JI21" s="646"/>
      <c r="JJ21" s="646"/>
      <c r="JK21" s="646"/>
      <c r="JL21" s="646"/>
      <c r="JM21" s="646"/>
      <c r="JN21" s="646"/>
      <c r="JO21" s="646"/>
      <c r="JP21" s="646"/>
      <c r="JQ21" s="646"/>
      <c r="JR21" s="646"/>
      <c r="JS21" s="646"/>
      <c r="JT21" s="646"/>
      <c r="JU21" s="646"/>
      <c r="JV21" s="646"/>
      <c r="JW21" s="646"/>
      <c r="JX21" s="646"/>
      <c r="JY21" s="646"/>
      <c r="JZ21" s="646"/>
      <c r="KA21" s="646"/>
      <c r="KB21" s="646"/>
      <c r="KC21" s="646"/>
      <c r="KD21" s="646"/>
      <c r="KE21" s="646"/>
      <c r="KF21" s="646"/>
      <c r="KG21" s="646"/>
      <c r="KH21" s="646"/>
      <c r="KI21" s="646"/>
      <c r="KJ21" s="646"/>
      <c r="KK21" s="646"/>
      <c r="KL21" s="646"/>
    </row>
    <row r="22" spans="1:298" s="647" customFormat="1" ht="20.100000000000001" customHeight="1" x14ac:dyDescent="0.3">
      <c r="A22" s="611"/>
      <c r="B22" s="1016" t="s">
        <v>1844</v>
      </c>
      <c r="C22" s="1198" t="s">
        <v>1436</v>
      </c>
      <c r="D22" s="1185"/>
      <c r="E22" s="1185"/>
      <c r="F22" s="1186"/>
      <c r="G22" s="1018"/>
      <c r="H22" s="872"/>
      <c r="I22" s="872"/>
      <c r="J22" s="872"/>
      <c r="K22" s="987"/>
      <c r="L22" s="986"/>
      <c r="M22" s="870"/>
      <c r="N22" s="870"/>
      <c r="O22" s="1001"/>
      <c r="P22" s="986"/>
      <c r="Q22" s="986"/>
      <c r="R22" s="1007"/>
      <c r="S22" s="1024"/>
      <c r="T22" s="986"/>
      <c r="U22" s="986"/>
      <c r="V22" s="986"/>
      <c r="W22" s="986"/>
      <c r="X22" s="986"/>
      <c r="Y22" s="648"/>
      <c r="Z22" s="630"/>
      <c r="AA22" s="630"/>
      <c r="AB22" s="630"/>
      <c r="AC22" s="630"/>
      <c r="AD22" s="630"/>
      <c r="AE22" s="630"/>
      <c r="AF22" s="630"/>
      <c r="AG22" s="630"/>
      <c r="AH22" s="630"/>
      <c r="AI22" s="630"/>
      <c r="AJ22" s="631"/>
      <c r="AK22" s="861"/>
      <c r="AL22" s="645"/>
      <c r="AM22" s="646"/>
      <c r="AN22" s="646"/>
      <c r="AO22" s="646"/>
      <c r="AP22" s="646"/>
      <c r="AQ22" s="646"/>
      <c r="AR22" s="646"/>
      <c r="AS22" s="646"/>
      <c r="AT22" s="646"/>
      <c r="AU22" s="646"/>
      <c r="AV22" s="646"/>
      <c r="AW22" s="646"/>
      <c r="AX22" s="646"/>
      <c r="AY22" s="646"/>
      <c r="AZ22" s="646"/>
      <c r="BA22" s="646"/>
      <c r="BB22" s="646"/>
      <c r="BC22" s="646"/>
      <c r="BD22" s="646"/>
      <c r="BE22" s="646"/>
      <c r="BF22" s="646"/>
      <c r="BG22" s="646"/>
      <c r="BH22" s="646"/>
      <c r="BI22" s="646"/>
      <c r="BJ22" s="646"/>
      <c r="BK22" s="646"/>
      <c r="BL22" s="646"/>
      <c r="BM22" s="646"/>
      <c r="BN22" s="646"/>
      <c r="BO22" s="646"/>
      <c r="BP22" s="646"/>
      <c r="BQ22" s="646"/>
      <c r="BR22" s="646"/>
      <c r="BS22" s="646"/>
      <c r="BT22" s="646"/>
      <c r="BU22" s="646"/>
      <c r="BV22" s="646"/>
      <c r="BW22" s="646"/>
      <c r="BX22" s="646"/>
      <c r="BY22" s="646"/>
      <c r="BZ22" s="646"/>
      <c r="CA22" s="646"/>
      <c r="CB22" s="646"/>
      <c r="CC22" s="646"/>
      <c r="CD22" s="646"/>
      <c r="CE22" s="646"/>
      <c r="CF22" s="646"/>
      <c r="CG22" s="646"/>
      <c r="CH22" s="646"/>
      <c r="CI22" s="646"/>
      <c r="CJ22" s="646"/>
      <c r="CK22" s="646"/>
      <c r="CL22" s="646"/>
      <c r="CM22" s="646"/>
      <c r="CN22" s="646"/>
      <c r="CO22" s="646"/>
      <c r="CP22" s="646"/>
      <c r="CQ22" s="646"/>
      <c r="CR22" s="646"/>
      <c r="CS22" s="646"/>
      <c r="CT22" s="646"/>
      <c r="CU22" s="646"/>
      <c r="CV22" s="646"/>
      <c r="CW22" s="646"/>
      <c r="CX22" s="646"/>
      <c r="CY22" s="646"/>
      <c r="CZ22" s="646"/>
      <c r="DA22" s="646"/>
      <c r="DB22" s="646"/>
      <c r="DC22" s="646"/>
      <c r="DD22" s="646"/>
      <c r="DE22" s="646"/>
      <c r="DF22" s="646"/>
      <c r="DG22" s="646"/>
      <c r="DH22" s="646"/>
      <c r="DI22" s="646"/>
      <c r="DJ22" s="646"/>
      <c r="DK22" s="646"/>
      <c r="DL22" s="646"/>
      <c r="DM22" s="646"/>
      <c r="DN22" s="646"/>
      <c r="DO22" s="646"/>
      <c r="DP22" s="646"/>
      <c r="DQ22" s="646"/>
      <c r="DR22" s="646"/>
      <c r="DS22" s="646"/>
      <c r="DT22" s="646"/>
      <c r="DU22" s="646"/>
      <c r="DV22" s="646"/>
      <c r="DW22" s="646"/>
      <c r="DX22" s="646"/>
      <c r="DY22" s="646"/>
      <c r="DZ22" s="646"/>
      <c r="EA22" s="646"/>
      <c r="EB22" s="646"/>
      <c r="EC22" s="646"/>
      <c r="ED22" s="646"/>
      <c r="EE22" s="646"/>
      <c r="EF22" s="646"/>
      <c r="EG22" s="646"/>
      <c r="EH22" s="646"/>
      <c r="EI22" s="646"/>
      <c r="EJ22" s="646"/>
      <c r="EK22" s="646"/>
      <c r="EL22" s="646"/>
      <c r="EM22" s="646"/>
      <c r="EN22" s="646"/>
      <c r="EO22" s="646"/>
      <c r="EP22" s="646"/>
      <c r="EQ22" s="646"/>
      <c r="ER22" s="646"/>
      <c r="ES22" s="646"/>
      <c r="ET22" s="646"/>
      <c r="EU22" s="646"/>
      <c r="EV22" s="646"/>
      <c r="EW22" s="646"/>
      <c r="EX22" s="646"/>
      <c r="EY22" s="646"/>
      <c r="EZ22" s="646"/>
      <c r="FA22" s="646"/>
      <c r="FB22" s="646"/>
      <c r="FC22" s="646"/>
      <c r="FD22" s="646"/>
      <c r="FE22" s="646"/>
      <c r="FF22" s="646"/>
      <c r="FG22" s="646"/>
      <c r="FH22" s="646"/>
      <c r="FI22" s="646"/>
      <c r="FJ22" s="646"/>
      <c r="FK22" s="646"/>
      <c r="FL22" s="646"/>
      <c r="FM22" s="646"/>
      <c r="FN22" s="646"/>
      <c r="FO22" s="646"/>
      <c r="FP22" s="646"/>
      <c r="FQ22" s="646"/>
      <c r="FR22" s="646"/>
      <c r="FS22" s="646"/>
      <c r="FT22" s="646"/>
      <c r="FU22" s="646"/>
      <c r="FV22" s="646"/>
      <c r="FW22" s="646"/>
      <c r="FX22" s="646"/>
      <c r="FY22" s="646"/>
      <c r="FZ22" s="646"/>
      <c r="GA22" s="646"/>
      <c r="GB22" s="646"/>
      <c r="GC22" s="646"/>
      <c r="GD22" s="646"/>
      <c r="GE22" s="646"/>
      <c r="GF22" s="646"/>
      <c r="GG22" s="646"/>
      <c r="GH22" s="646"/>
      <c r="GI22" s="646"/>
      <c r="GJ22" s="646"/>
      <c r="GK22" s="646"/>
      <c r="GL22" s="646"/>
      <c r="GM22" s="646"/>
      <c r="GN22" s="646"/>
      <c r="GO22" s="646"/>
      <c r="GP22" s="646"/>
      <c r="GQ22" s="646"/>
      <c r="GR22" s="646"/>
      <c r="GS22" s="646"/>
      <c r="GT22" s="646"/>
      <c r="GU22" s="646"/>
      <c r="GV22" s="646"/>
      <c r="GW22" s="646"/>
      <c r="GX22" s="646"/>
      <c r="GY22" s="646"/>
      <c r="GZ22" s="646"/>
      <c r="HA22" s="646"/>
      <c r="HB22" s="646"/>
      <c r="HC22" s="646"/>
      <c r="HD22" s="646"/>
      <c r="HE22" s="646"/>
      <c r="HF22" s="646"/>
      <c r="HG22" s="646"/>
      <c r="HH22" s="646"/>
      <c r="HI22" s="646"/>
      <c r="HJ22" s="646"/>
      <c r="HK22" s="646"/>
      <c r="HL22" s="646"/>
      <c r="HM22" s="646"/>
      <c r="HN22" s="646"/>
      <c r="HO22" s="646"/>
      <c r="HP22" s="646"/>
      <c r="HQ22" s="646"/>
      <c r="HR22" s="646"/>
      <c r="HS22" s="646"/>
      <c r="HT22" s="646"/>
      <c r="HU22" s="646"/>
      <c r="HV22" s="646"/>
      <c r="HW22" s="646"/>
      <c r="HX22" s="646"/>
      <c r="HY22" s="646"/>
      <c r="HZ22" s="646"/>
      <c r="IA22" s="646"/>
      <c r="IB22" s="646"/>
      <c r="IC22" s="646"/>
      <c r="ID22" s="646"/>
      <c r="IE22" s="646"/>
      <c r="IF22" s="646"/>
      <c r="IG22" s="646"/>
      <c r="IH22" s="646"/>
      <c r="II22" s="646"/>
      <c r="IJ22" s="646"/>
      <c r="IK22" s="646"/>
      <c r="IL22" s="646"/>
      <c r="IM22" s="646"/>
      <c r="IN22" s="646"/>
      <c r="IO22" s="646"/>
      <c r="IP22" s="646"/>
      <c r="IQ22" s="646"/>
      <c r="IR22" s="646"/>
      <c r="IS22" s="646"/>
      <c r="IT22" s="646"/>
      <c r="IU22" s="646"/>
      <c r="IV22" s="646"/>
      <c r="IW22" s="646"/>
      <c r="IX22" s="646"/>
      <c r="IY22" s="646"/>
      <c r="IZ22" s="646"/>
      <c r="JA22" s="646"/>
      <c r="JB22" s="646"/>
      <c r="JC22" s="646"/>
      <c r="JD22" s="646"/>
      <c r="JE22" s="646"/>
      <c r="JF22" s="646"/>
      <c r="JG22" s="646"/>
      <c r="JH22" s="646"/>
      <c r="JI22" s="646"/>
      <c r="JJ22" s="646"/>
      <c r="JK22" s="646"/>
      <c r="JL22" s="646"/>
      <c r="JM22" s="646"/>
      <c r="JN22" s="646"/>
      <c r="JO22" s="646"/>
      <c r="JP22" s="646"/>
      <c r="JQ22" s="646"/>
      <c r="JR22" s="646"/>
      <c r="JS22" s="646"/>
      <c r="JT22" s="646"/>
      <c r="JU22" s="646"/>
      <c r="JV22" s="646"/>
      <c r="JW22" s="646"/>
      <c r="JX22" s="646"/>
      <c r="JY22" s="646"/>
      <c r="JZ22" s="646"/>
      <c r="KA22" s="646"/>
      <c r="KB22" s="646"/>
      <c r="KC22" s="646"/>
      <c r="KD22" s="646"/>
      <c r="KE22" s="646"/>
      <c r="KF22" s="646"/>
      <c r="KG22" s="646"/>
      <c r="KH22" s="646"/>
      <c r="KI22" s="646"/>
      <c r="KJ22" s="646"/>
      <c r="KK22" s="646"/>
      <c r="KL22" s="646"/>
    </row>
    <row r="23" spans="1:298" s="647" customFormat="1" ht="20.100000000000001" customHeight="1" x14ac:dyDescent="0.25">
      <c r="A23" s="611"/>
      <c r="B23" s="1016" t="s">
        <v>1845</v>
      </c>
      <c r="C23" s="1198" t="s">
        <v>1835</v>
      </c>
      <c r="D23" s="1185"/>
      <c r="E23" s="1185"/>
      <c r="F23" s="1186"/>
      <c r="G23" s="1018"/>
      <c r="H23" s="872"/>
      <c r="I23" s="872"/>
      <c r="J23" s="872"/>
      <c r="K23" s="987"/>
      <c r="L23" s="986"/>
      <c r="M23" s="870"/>
      <c r="N23" s="870"/>
      <c r="O23" s="1001"/>
      <c r="P23" s="1001"/>
      <c r="Q23" s="1001"/>
      <c r="R23" s="1001"/>
      <c r="S23" s="1001"/>
      <c r="T23" s="986"/>
      <c r="U23" s="1004"/>
      <c r="V23" s="1004"/>
      <c r="W23" s="1004"/>
      <c r="X23" s="1004"/>
      <c r="Y23" s="648"/>
      <c r="Z23" s="630"/>
      <c r="AA23" s="630"/>
      <c r="AB23" s="630"/>
      <c r="AC23" s="630"/>
      <c r="AD23" s="630"/>
      <c r="AE23" s="630"/>
      <c r="AF23" s="630"/>
      <c r="AG23" s="630"/>
      <c r="AH23" s="630"/>
      <c r="AI23" s="630"/>
      <c r="AJ23" s="631"/>
      <c r="AK23" s="861"/>
      <c r="AL23" s="645"/>
      <c r="AM23" s="646"/>
      <c r="AN23" s="646"/>
      <c r="AO23" s="646"/>
      <c r="AP23" s="646"/>
      <c r="AQ23" s="646"/>
      <c r="AR23" s="646"/>
      <c r="AS23" s="646"/>
      <c r="AT23" s="646"/>
      <c r="AU23" s="646"/>
      <c r="AV23" s="646"/>
      <c r="AW23" s="646"/>
      <c r="AX23" s="646"/>
      <c r="AY23" s="646"/>
      <c r="AZ23" s="646"/>
      <c r="BA23" s="646"/>
      <c r="BB23" s="646"/>
      <c r="BC23" s="646"/>
      <c r="BD23" s="646"/>
      <c r="BE23" s="646"/>
      <c r="BF23" s="646"/>
      <c r="BG23" s="646"/>
      <c r="BH23" s="646"/>
      <c r="BI23" s="646"/>
      <c r="BJ23" s="646"/>
      <c r="BK23" s="646"/>
      <c r="BL23" s="646"/>
      <c r="BM23" s="646"/>
      <c r="BN23" s="646"/>
      <c r="BO23" s="646"/>
      <c r="BP23" s="646"/>
      <c r="BQ23" s="646"/>
      <c r="BR23" s="646"/>
      <c r="BS23" s="646"/>
      <c r="BT23" s="646"/>
      <c r="BU23" s="646"/>
      <c r="BV23" s="646"/>
      <c r="BW23" s="646"/>
      <c r="BX23" s="646"/>
      <c r="BY23" s="646"/>
      <c r="BZ23" s="646"/>
      <c r="CA23" s="646"/>
      <c r="CB23" s="646"/>
      <c r="CC23" s="646"/>
      <c r="CD23" s="646"/>
      <c r="CE23" s="646"/>
      <c r="CF23" s="646"/>
      <c r="CG23" s="646"/>
      <c r="CH23" s="646"/>
      <c r="CI23" s="646"/>
      <c r="CJ23" s="646"/>
      <c r="CK23" s="646"/>
      <c r="CL23" s="646"/>
      <c r="CM23" s="646"/>
      <c r="CN23" s="646"/>
      <c r="CO23" s="646"/>
      <c r="CP23" s="646"/>
      <c r="CQ23" s="646"/>
      <c r="CR23" s="646"/>
      <c r="CS23" s="646"/>
      <c r="CT23" s="646"/>
      <c r="CU23" s="646"/>
      <c r="CV23" s="646"/>
      <c r="CW23" s="646"/>
      <c r="CX23" s="646"/>
      <c r="CY23" s="646"/>
      <c r="CZ23" s="646"/>
      <c r="DA23" s="646"/>
      <c r="DB23" s="646"/>
      <c r="DC23" s="646"/>
      <c r="DD23" s="646"/>
      <c r="DE23" s="646"/>
      <c r="DF23" s="646"/>
      <c r="DG23" s="646"/>
      <c r="DH23" s="646"/>
      <c r="DI23" s="646"/>
      <c r="DJ23" s="646"/>
      <c r="DK23" s="646"/>
      <c r="DL23" s="646"/>
      <c r="DM23" s="646"/>
      <c r="DN23" s="646"/>
      <c r="DO23" s="646"/>
      <c r="DP23" s="646"/>
      <c r="DQ23" s="646"/>
      <c r="DR23" s="646"/>
      <c r="DS23" s="646"/>
      <c r="DT23" s="646"/>
      <c r="DU23" s="646"/>
      <c r="DV23" s="646"/>
      <c r="DW23" s="646"/>
      <c r="DX23" s="646"/>
      <c r="DY23" s="646"/>
      <c r="DZ23" s="646"/>
      <c r="EA23" s="646"/>
      <c r="EB23" s="646"/>
      <c r="EC23" s="646"/>
      <c r="ED23" s="646"/>
      <c r="EE23" s="646"/>
      <c r="EF23" s="646"/>
      <c r="EG23" s="646"/>
      <c r="EH23" s="646"/>
      <c r="EI23" s="646"/>
      <c r="EJ23" s="646"/>
      <c r="EK23" s="646"/>
      <c r="EL23" s="646"/>
      <c r="EM23" s="646"/>
      <c r="EN23" s="646"/>
      <c r="EO23" s="646"/>
      <c r="EP23" s="646"/>
      <c r="EQ23" s="646"/>
      <c r="ER23" s="646"/>
      <c r="ES23" s="646"/>
      <c r="ET23" s="646"/>
      <c r="EU23" s="646"/>
      <c r="EV23" s="646"/>
      <c r="EW23" s="646"/>
      <c r="EX23" s="646"/>
      <c r="EY23" s="646"/>
      <c r="EZ23" s="646"/>
      <c r="FA23" s="646"/>
      <c r="FB23" s="646"/>
      <c r="FC23" s="646"/>
      <c r="FD23" s="646"/>
      <c r="FE23" s="646"/>
      <c r="FF23" s="646"/>
      <c r="FG23" s="646"/>
      <c r="FH23" s="646"/>
      <c r="FI23" s="646"/>
      <c r="FJ23" s="646"/>
      <c r="FK23" s="646"/>
      <c r="FL23" s="646"/>
      <c r="FM23" s="646"/>
      <c r="FN23" s="646"/>
      <c r="FO23" s="646"/>
      <c r="FP23" s="646"/>
      <c r="FQ23" s="646"/>
      <c r="FR23" s="646"/>
      <c r="FS23" s="646"/>
      <c r="FT23" s="646"/>
      <c r="FU23" s="646"/>
      <c r="FV23" s="646"/>
      <c r="FW23" s="646"/>
      <c r="FX23" s="646"/>
      <c r="FY23" s="646"/>
      <c r="FZ23" s="646"/>
      <c r="GA23" s="646"/>
      <c r="GB23" s="646"/>
      <c r="GC23" s="646"/>
      <c r="GD23" s="646"/>
      <c r="GE23" s="646"/>
      <c r="GF23" s="646"/>
      <c r="GG23" s="646"/>
      <c r="GH23" s="646"/>
      <c r="GI23" s="646"/>
      <c r="GJ23" s="646"/>
      <c r="GK23" s="646"/>
      <c r="GL23" s="646"/>
      <c r="GM23" s="646"/>
      <c r="GN23" s="646"/>
      <c r="GO23" s="646"/>
      <c r="GP23" s="646"/>
      <c r="GQ23" s="646"/>
      <c r="GR23" s="646"/>
      <c r="GS23" s="646"/>
      <c r="GT23" s="646"/>
      <c r="GU23" s="646"/>
      <c r="GV23" s="646"/>
      <c r="GW23" s="646"/>
      <c r="GX23" s="646"/>
      <c r="GY23" s="646"/>
      <c r="GZ23" s="646"/>
      <c r="HA23" s="646"/>
      <c r="HB23" s="646"/>
      <c r="HC23" s="646"/>
      <c r="HD23" s="646"/>
      <c r="HE23" s="646"/>
      <c r="HF23" s="646"/>
      <c r="HG23" s="646"/>
      <c r="HH23" s="646"/>
      <c r="HI23" s="646"/>
      <c r="HJ23" s="646"/>
      <c r="HK23" s="646"/>
      <c r="HL23" s="646"/>
      <c r="HM23" s="646"/>
      <c r="HN23" s="646"/>
      <c r="HO23" s="646"/>
      <c r="HP23" s="646"/>
      <c r="HQ23" s="646"/>
      <c r="HR23" s="646"/>
      <c r="HS23" s="646"/>
      <c r="HT23" s="646"/>
      <c r="HU23" s="646"/>
      <c r="HV23" s="646"/>
      <c r="HW23" s="646"/>
      <c r="HX23" s="646"/>
      <c r="HY23" s="646"/>
      <c r="HZ23" s="646"/>
      <c r="IA23" s="646"/>
      <c r="IB23" s="646"/>
      <c r="IC23" s="646"/>
      <c r="ID23" s="646"/>
      <c r="IE23" s="646"/>
      <c r="IF23" s="646"/>
      <c r="IG23" s="646"/>
      <c r="IH23" s="646"/>
      <c r="II23" s="646"/>
      <c r="IJ23" s="646"/>
      <c r="IK23" s="646"/>
      <c r="IL23" s="646"/>
      <c r="IM23" s="646"/>
      <c r="IN23" s="646"/>
      <c r="IO23" s="646"/>
      <c r="IP23" s="646"/>
      <c r="IQ23" s="646"/>
      <c r="IR23" s="646"/>
      <c r="IS23" s="646"/>
      <c r="IT23" s="646"/>
      <c r="IU23" s="646"/>
      <c r="IV23" s="646"/>
      <c r="IW23" s="646"/>
      <c r="IX23" s="646"/>
      <c r="IY23" s="646"/>
      <c r="IZ23" s="646"/>
      <c r="JA23" s="646"/>
      <c r="JB23" s="646"/>
      <c r="JC23" s="646"/>
      <c r="JD23" s="646"/>
      <c r="JE23" s="646"/>
      <c r="JF23" s="646"/>
      <c r="JG23" s="646"/>
      <c r="JH23" s="646"/>
      <c r="JI23" s="646"/>
      <c r="JJ23" s="646"/>
      <c r="JK23" s="646"/>
      <c r="JL23" s="646"/>
      <c r="JM23" s="646"/>
      <c r="JN23" s="646"/>
      <c r="JO23" s="646"/>
      <c r="JP23" s="646"/>
      <c r="JQ23" s="646"/>
      <c r="JR23" s="646"/>
      <c r="JS23" s="646"/>
      <c r="JT23" s="646"/>
      <c r="JU23" s="646"/>
      <c r="JV23" s="646"/>
      <c r="JW23" s="646"/>
      <c r="JX23" s="646"/>
      <c r="JY23" s="646"/>
      <c r="JZ23" s="646"/>
      <c r="KA23" s="646"/>
      <c r="KB23" s="646"/>
      <c r="KC23" s="646"/>
      <c r="KD23" s="646"/>
      <c r="KE23" s="646"/>
      <c r="KF23" s="646"/>
      <c r="KG23" s="646"/>
      <c r="KH23" s="646"/>
      <c r="KI23" s="646"/>
      <c r="KJ23" s="646"/>
      <c r="KK23" s="646"/>
      <c r="KL23" s="646"/>
    </row>
    <row r="24" spans="1:298" s="647" customFormat="1" ht="20.100000000000001" customHeight="1" x14ac:dyDescent="0.25">
      <c r="A24" s="611"/>
      <c r="B24" s="1016" t="s">
        <v>1846</v>
      </c>
      <c r="C24" s="1198" t="s">
        <v>1836</v>
      </c>
      <c r="D24" s="1185"/>
      <c r="E24" s="1185"/>
      <c r="F24" s="1186"/>
      <c r="G24" s="993"/>
      <c r="H24" s="872"/>
      <c r="I24" s="872"/>
      <c r="J24" s="872"/>
      <c r="K24" s="987"/>
      <c r="L24" s="870"/>
      <c r="M24" s="870"/>
      <c r="N24" s="870"/>
      <c r="O24" s="986"/>
      <c r="P24" s="986"/>
      <c r="Q24" s="986"/>
      <c r="R24" s="1007"/>
      <c r="S24" s="1001"/>
      <c r="T24" s="1001"/>
      <c r="U24" s="1001"/>
      <c r="V24" s="1001"/>
      <c r="W24" s="1004"/>
      <c r="X24" s="1004"/>
      <c r="Y24" s="648"/>
      <c r="Z24" s="649"/>
      <c r="AA24" s="649"/>
      <c r="AB24" s="649"/>
      <c r="AC24" s="649"/>
      <c r="AD24" s="649"/>
      <c r="AE24" s="649"/>
      <c r="AF24" s="649"/>
      <c r="AG24" s="649"/>
      <c r="AH24" s="649"/>
      <c r="AI24" s="649"/>
      <c r="AJ24" s="650"/>
      <c r="AK24" s="861"/>
      <c r="AL24" s="651"/>
      <c r="AM24" s="652"/>
      <c r="AN24" s="652"/>
      <c r="AO24" s="652"/>
      <c r="AP24" s="646"/>
      <c r="AQ24" s="646"/>
      <c r="AR24" s="646"/>
      <c r="AS24" s="646"/>
      <c r="AT24" s="646"/>
      <c r="AU24" s="646"/>
      <c r="AV24" s="646"/>
      <c r="AW24" s="646"/>
      <c r="AX24" s="646"/>
      <c r="AY24" s="646"/>
      <c r="AZ24" s="646"/>
      <c r="BA24" s="646"/>
      <c r="BB24" s="646"/>
      <c r="BC24" s="646"/>
      <c r="BD24" s="646"/>
      <c r="BE24" s="646"/>
      <c r="BF24" s="646"/>
      <c r="BG24" s="646"/>
      <c r="BH24" s="646"/>
      <c r="BI24" s="646"/>
      <c r="BJ24" s="646"/>
      <c r="BK24" s="646"/>
      <c r="BL24" s="646"/>
      <c r="BM24" s="646"/>
      <c r="BN24" s="646"/>
      <c r="BO24" s="646"/>
      <c r="BP24" s="646"/>
      <c r="BQ24" s="646"/>
      <c r="BR24" s="646"/>
      <c r="BS24" s="646"/>
      <c r="BT24" s="646"/>
      <c r="BU24" s="646"/>
      <c r="BV24" s="646"/>
      <c r="BW24" s="646"/>
      <c r="BX24" s="646"/>
      <c r="BY24" s="646"/>
      <c r="BZ24" s="646"/>
      <c r="CA24" s="646"/>
      <c r="CB24" s="646"/>
      <c r="CC24" s="646"/>
      <c r="CD24" s="646"/>
      <c r="CE24" s="646"/>
      <c r="CF24" s="646"/>
      <c r="CG24" s="646"/>
      <c r="CH24" s="646"/>
      <c r="CI24" s="646"/>
      <c r="CJ24" s="646"/>
      <c r="CK24" s="646"/>
      <c r="CL24" s="646"/>
      <c r="CM24" s="646"/>
      <c r="CN24" s="646"/>
      <c r="CO24" s="646"/>
      <c r="CP24" s="646"/>
      <c r="CQ24" s="646"/>
      <c r="CR24" s="646"/>
      <c r="CS24" s="646"/>
      <c r="CT24" s="646"/>
      <c r="CU24" s="646"/>
      <c r="CV24" s="646"/>
      <c r="CW24" s="646"/>
      <c r="CX24" s="646"/>
      <c r="CY24" s="646"/>
      <c r="CZ24" s="646"/>
      <c r="DA24" s="646"/>
      <c r="DB24" s="646"/>
      <c r="DC24" s="646"/>
      <c r="DD24" s="646"/>
      <c r="DE24" s="646"/>
      <c r="DF24" s="646"/>
      <c r="DG24" s="646"/>
      <c r="DH24" s="646"/>
      <c r="DI24" s="646"/>
      <c r="DJ24" s="646"/>
      <c r="DK24" s="646"/>
      <c r="DL24" s="646"/>
      <c r="DM24" s="646"/>
      <c r="DN24" s="646"/>
      <c r="DO24" s="646"/>
      <c r="DP24" s="646"/>
      <c r="DQ24" s="646"/>
      <c r="DR24" s="646"/>
      <c r="DS24" s="646"/>
      <c r="DT24" s="646"/>
      <c r="DU24" s="646"/>
      <c r="DV24" s="646"/>
      <c r="DW24" s="646"/>
      <c r="DX24" s="646"/>
      <c r="DY24" s="646"/>
      <c r="DZ24" s="646"/>
      <c r="EA24" s="646"/>
      <c r="EB24" s="646"/>
      <c r="EC24" s="646"/>
      <c r="ED24" s="646"/>
      <c r="EE24" s="646"/>
      <c r="EF24" s="646"/>
      <c r="EG24" s="646"/>
      <c r="EH24" s="646"/>
      <c r="EI24" s="646"/>
      <c r="EJ24" s="646"/>
      <c r="EK24" s="646"/>
      <c r="EL24" s="646"/>
      <c r="EM24" s="646"/>
      <c r="EN24" s="646"/>
      <c r="EO24" s="646"/>
      <c r="EP24" s="646"/>
      <c r="EQ24" s="646"/>
      <c r="ER24" s="646"/>
      <c r="ES24" s="646"/>
      <c r="ET24" s="646"/>
      <c r="EU24" s="646"/>
      <c r="EV24" s="646"/>
      <c r="EW24" s="646"/>
      <c r="EX24" s="646"/>
      <c r="EY24" s="646"/>
      <c r="EZ24" s="646"/>
      <c r="FA24" s="646"/>
      <c r="FB24" s="646"/>
      <c r="FC24" s="646"/>
      <c r="FD24" s="646"/>
      <c r="FE24" s="646"/>
      <c r="FF24" s="646"/>
      <c r="FG24" s="646"/>
      <c r="FH24" s="646"/>
      <c r="FI24" s="646"/>
      <c r="FJ24" s="646"/>
      <c r="FK24" s="646"/>
      <c r="FL24" s="646"/>
      <c r="FM24" s="646"/>
      <c r="FN24" s="646"/>
      <c r="FO24" s="646"/>
      <c r="FP24" s="646"/>
      <c r="FQ24" s="646"/>
      <c r="FR24" s="646"/>
      <c r="FS24" s="646"/>
      <c r="FT24" s="646"/>
      <c r="FU24" s="646"/>
      <c r="FV24" s="646"/>
      <c r="FW24" s="646"/>
      <c r="FX24" s="646"/>
      <c r="FY24" s="646"/>
      <c r="FZ24" s="646"/>
      <c r="GA24" s="646"/>
      <c r="GB24" s="646"/>
      <c r="GC24" s="646"/>
      <c r="GD24" s="646"/>
      <c r="GE24" s="646"/>
      <c r="GF24" s="646"/>
      <c r="GG24" s="646"/>
      <c r="GH24" s="646"/>
      <c r="GI24" s="646"/>
      <c r="GJ24" s="646"/>
      <c r="GK24" s="646"/>
      <c r="GL24" s="646"/>
      <c r="GM24" s="646"/>
      <c r="GN24" s="646"/>
      <c r="GO24" s="646"/>
      <c r="GP24" s="646"/>
      <c r="GQ24" s="646"/>
      <c r="GR24" s="646"/>
      <c r="GS24" s="646"/>
      <c r="GT24" s="646"/>
      <c r="GU24" s="646"/>
      <c r="GV24" s="646"/>
      <c r="GW24" s="646"/>
      <c r="GX24" s="646"/>
      <c r="GY24" s="646"/>
      <c r="GZ24" s="646"/>
      <c r="HA24" s="646"/>
      <c r="HB24" s="646"/>
      <c r="HC24" s="646"/>
      <c r="HD24" s="646"/>
      <c r="HE24" s="646"/>
      <c r="HF24" s="646"/>
      <c r="HG24" s="646"/>
      <c r="HH24" s="646"/>
      <c r="HI24" s="646"/>
      <c r="HJ24" s="646"/>
      <c r="HK24" s="646"/>
      <c r="HL24" s="646"/>
      <c r="HM24" s="646"/>
      <c r="HN24" s="646"/>
      <c r="HO24" s="646"/>
      <c r="HP24" s="646"/>
      <c r="HQ24" s="646"/>
      <c r="HR24" s="646"/>
      <c r="HS24" s="646"/>
      <c r="HT24" s="646"/>
      <c r="HU24" s="646"/>
      <c r="HV24" s="646"/>
      <c r="HW24" s="646"/>
      <c r="HX24" s="646"/>
      <c r="HY24" s="646"/>
      <c r="HZ24" s="646"/>
      <c r="IA24" s="646"/>
      <c r="IB24" s="646"/>
      <c r="IC24" s="646"/>
      <c r="ID24" s="646"/>
      <c r="IE24" s="646"/>
      <c r="IF24" s="646"/>
      <c r="IG24" s="646"/>
      <c r="IH24" s="646"/>
      <c r="II24" s="646"/>
      <c r="IJ24" s="646"/>
      <c r="IK24" s="646"/>
      <c r="IL24" s="646"/>
      <c r="IM24" s="646"/>
      <c r="IN24" s="646"/>
      <c r="IO24" s="646"/>
      <c r="IP24" s="646"/>
      <c r="IQ24" s="646"/>
      <c r="IR24" s="646"/>
      <c r="IS24" s="646"/>
      <c r="IT24" s="646"/>
      <c r="IU24" s="646"/>
      <c r="IV24" s="646"/>
      <c r="IW24" s="646"/>
      <c r="IX24" s="646"/>
      <c r="IY24" s="646"/>
      <c r="IZ24" s="646"/>
      <c r="JA24" s="646"/>
      <c r="JB24" s="646"/>
      <c r="JC24" s="646"/>
      <c r="JD24" s="646"/>
      <c r="JE24" s="646"/>
      <c r="JF24" s="646"/>
      <c r="JG24" s="646"/>
      <c r="JH24" s="646"/>
      <c r="JI24" s="646"/>
      <c r="JJ24" s="646"/>
      <c r="JK24" s="646"/>
      <c r="JL24" s="646"/>
      <c r="JM24" s="646"/>
      <c r="JN24" s="646"/>
      <c r="JO24" s="646"/>
      <c r="JP24" s="646"/>
      <c r="JQ24" s="646"/>
      <c r="JR24" s="646"/>
      <c r="JS24" s="646"/>
      <c r="JT24" s="646"/>
      <c r="JU24" s="646"/>
      <c r="JV24" s="646"/>
      <c r="JW24" s="646"/>
      <c r="JX24" s="646"/>
      <c r="JY24" s="646"/>
      <c r="JZ24" s="646"/>
      <c r="KA24" s="646"/>
      <c r="KB24" s="646"/>
      <c r="KC24" s="646"/>
      <c r="KD24" s="646"/>
      <c r="KE24" s="646"/>
      <c r="KF24" s="646"/>
      <c r="KG24" s="646"/>
      <c r="KH24" s="646"/>
      <c r="KI24" s="646"/>
      <c r="KJ24" s="646"/>
      <c r="KK24" s="646"/>
      <c r="KL24" s="646"/>
    </row>
    <row r="25" spans="1:298" s="647" customFormat="1" ht="20.100000000000001" customHeight="1" x14ac:dyDescent="0.25">
      <c r="A25" s="611"/>
      <c r="B25" s="1016" t="s">
        <v>1847</v>
      </c>
      <c r="C25" s="1185" t="s">
        <v>1837</v>
      </c>
      <c r="D25" s="1185"/>
      <c r="E25" s="1185"/>
      <c r="F25" s="1186"/>
      <c r="G25" s="993"/>
      <c r="H25" s="872"/>
      <c r="I25" s="872"/>
      <c r="J25" s="872"/>
      <c r="K25" s="987"/>
      <c r="L25" s="872"/>
      <c r="M25" s="872"/>
      <c r="N25" s="990"/>
      <c r="O25" s="986"/>
      <c r="P25" s="986"/>
      <c r="Q25" s="986"/>
      <c r="R25" s="1007"/>
      <c r="S25" s="1024"/>
      <c r="T25" s="986"/>
      <c r="U25" s="1004"/>
      <c r="V25" s="1004"/>
      <c r="W25" s="1001"/>
      <c r="X25" s="1001"/>
      <c r="Y25" s="648"/>
      <c r="Z25" s="649"/>
      <c r="AA25" s="649"/>
      <c r="AB25" s="649"/>
      <c r="AC25" s="649"/>
      <c r="AD25" s="649"/>
      <c r="AE25" s="649"/>
      <c r="AF25" s="649"/>
      <c r="AG25" s="649"/>
      <c r="AH25" s="649"/>
      <c r="AI25" s="649"/>
      <c r="AJ25" s="650"/>
      <c r="AK25" s="861"/>
      <c r="AL25" s="651"/>
      <c r="AM25" s="646"/>
      <c r="AN25" s="646"/>
      <c r="AO25" s="646"/>
      <c r="AP25" s="646"/>
      <c r="AQ25" s="646"/>
      <c r="AR25" s="646"/>
      <c r="AS25" s="646"/>
      <c r="AT25" s="646"/>
      <c r="AU25" s="646"/>
      <c r="AV25" s="646"/>
      <c r="AW25" s="646"/>
      <c r="AX25" s="646"/>
      <c r="AY25" s="646"/>
      <c r="AZ25" s="646"/>
      <c r="BA25" s="646"/>
      <c r="BB25" s="646"/>
      <c r="BC25" s="646"/>
      <c r="BD25" s="646"/>
      <c r="BE25" s="646"/>
      <c r="BF25" s="646"/>
      <c r="BG25" s="646"/>
      <c r="BH25" s="646"/>
      <c r="BI25" s="646"/>
      <c r="BJ25" s="646"/>
      <c r="BK25" s="646"/>
      <c r="BL25" s="646"/>
      <c r="BM25" s="646"/>
      <c r="BN25" s="646"/>
      <c r="BO25" s="646"/>
      <c r="BP25" s="646"/>
      <c r="BQ25" s="646"/>
      <c r="BR25" s="646"/>
      <c r="BS25" s="646"/>
      <c r="BT25" s="646"/>
      <c r="BU25" s="646"/>
      <c r="BV25" s="646"/>
      <c r="BW25" s="646"/>
      <c r="BX25" s="646"/>
      <c r="BY25" s="646"/>
      <c r="BZ25" s="646"/>
      <c r="CA25" s="646"/>
      <c r="CB25" s="646"/>
      <c r="CC25" s="646"/>
      <c r="CD25" s="646"/>
      <c r="CE25" s="646"/>
      <c r="CF25" s="646"/>
      <c r="CG25" s="646"/>
      <c r="CH25" s="646"/>
      <c r="CI25" s="646"/>
      <c r="CJ25" s="646"/>
      <c r="CK25" s="646"/>
      <c r="CL25" s="646"/>
      <c r="CM25" s="646"/>
      <c r="CN25" s="646"/>
      <c r="CO25" s="646"/>
      <c r="CP25" s="646"/>
      <c r="CQ25" s="646"/>
      <c r="CR25" s="646"/>
      <c r="CS25" s="646"/>
      <c r="CT25" s="646"/>
      <c r="CU25" s="646"/>
      <c r="CV25" s="646"/>
      <c r="CW25" s="646"/>
      <c r="CX25" s="646"/>
      <c r="CY25" s="646"/>
      <c r="CZ25" s="646"/>
      <c r="DA25" s="646"/>
      <c r="DB25" s="646"/>
      <c r="DC25" s="646"/>
      <c r="DD25" s="646"/>
      <c r="DE25" s="646"/>
      <c r="DF25" s="646"/>
      <c r="DG25" s="646"/>
      <c r="DH25" s="646"/>
      <c r="DI25" s="646"/>
      <c r="DJ25" s="646"/>
      <c r="DK25" s="646"/>
      <c r="DL25" s="646"/>
      <c r="DM25" s="646"/>
      <c r="DN25" s="646"/>
      <c r="DO25" s="646"/>
      <c r="DP25" s="646"/>
      <c r="DQ25" s="646"/>
      <c r="DR25" s="646"/>
      <c r="DS25" s="646"/>
      <c r="DT25" s="646"/>
      <c r="DU25" s="646"/>
      <c r="DV25" s="646"/>
      <c r="DW25" s="646"/>
      <c r="DX25" s="646"/>
      <c r="DY25" s="646"/>
      <c r="DZ25" s="646"/>
      <c r="EA25" s="646"/>
      <c r="EB25" s="646"/>
      <c r="EC25" s="646"/>
      <c r="ED25" s="646"/>
      <c r="EE25" s="646"/>
      <c r="EF25" s="646"/>
      <c r="EG25" s="646"/>
      <c r="EH25" s="646"/>
      <c r="EI25" s="646"/>
      <c r="EJ25" s="646"/>
      <c r="EK25" s="646"/>
      <c r="EL25" s="646"/>
      <c r="EM25" s="646"/>
      <c r="EN25" s="646"/>
      <c r="EO25" s="646"/>
      <c r="EP25" s="646"/>
      <c r="EQ25" s="646"/>
      <c r="ER25" s="646"/>
      <c r="ES25" s="646"/>
      <c r="ET25" s="646"/>
      <c r="EU25" s="646"/>
      <c r="EV25" s="646"/>
      <c r="EW25" s="646"/>
      <c r="EX25" s="646"/>
      <c r="EY25" s="646"/>
      <c r="EZ25" s="646"/>
      <c r="FA25" s="646"/>
      <c r="FB25" s="646"/>
      <c r="FC25" s="646"/>
      <c r="FD25" s="646"/>
      <c r="FE25" s="646"/>
      <c r="FF25" s="646"/>
      <c r="FG25" s="646"/>
      <c r="FH25" s="646"/>
      <c r="FI25" s="646"/>
      <c r="FJ25" s="646"/>
      <c r="FK25" s="646"/>
      <c r="FL25" s="646"/>
      <c r="FM25" s="646"/>
      <c r="FN25" s="646"/>
      <c r="FO25" s="646"/>
      <c r="FP25" s="646"/>
      <c r="FQ25" s="646"/>
      <c r="FR25" s="646"/>
      <c r="FS25" s="646"/>
      <c r="FT25" s="646"/>
      <c r="FU25" s="646"/>
      <c r="FV25" s="646"/>
      <c r="FW25" s="646"/>
      <c r="FX25" s="646"/>
      <c r="FY25" s="646"/>
      <c r="FZ25" s="646"/>
      <c r="GA25" s="646"/>
      <c r="GB25" s="646"/>
      <c r="GC25" s="646"/>
      <c r="GD25" s="646"/>
      <c r="GE25" s="646"/>
      <c r="GF25" s="646"/>
      <c r="GG25" s="646"/>
      <c r="GH25" s="646"/>
      <c r="GI25" s="646"/>
      <c r="GJ25" s="646"/>
      <c r="GK25" s="646"/>
      <c r="GL25" s="646"/>
      <c r="GM25" s="646"/>
      <c r="GN25" s="646"/>
      <c r="GO25" s="646"/>
      <c r="GP25" s="646"/>
      <c r="GQ25" s="646"/>
      <c r="GR25" s="646"/>
      <c r="GS25" s="646"/>
      <c r="GT25" s="646"/>
      <c r="GU25" s="646"/>
      <c r="GV25" s="646"/>
      <c r="GW25" s="646"/>
      <c r="GX25" s="646"/>
      <c r="GY25" s="646"/>
      <c r="GZ25" s="646"/>
      <c r="HA25" s="646"/>
      <c r="HB25" s="646"/>
      <c r="HC25" s="646"/>
      <c r="HD25" s="646"/>
      <c r="HE25" s="646"/>
      <c r="HF25" s="646"/>
      <c r="HG25" s="646"/>
      <c r="HH25" s="646"/>
      <c r="HI25" s="646"/>
      <c r="HJ25" s="646"/>
      <c r="HK25" s="646"/>
      <c r="HL25" s="646"/>
      <c r="HM25" s="646"/>
      <c r="HN25" s="646"/>
      <c r="HO25" s="646"/>
      <c r="HP25" s="646"/>
      <c r="HQ25" s="646"/>
      <c r="HR25" s="646"/>
      <c r="HS25" s="646"/>
      <c r="HT25" s="646"/>
      <c r="HU25" s="646"/>
      <c r="HV25" s="646"/>
      <c r="HW25" s="646"/>
      <c r="HX25" s="646"/>
      <c r="HY25" s="646"/>
      <c r="HZ25" s="646"/>
      <c r="IA25" s="646"/>
      <c r="IB25" s="646"/>
      <c r="IC25" s="646"/>
      <c r="ID25" s="646"/>
      <c r="IE25" s="646"/>
      <c r="IF25" s="646"/>
      <c r="IG25" s="646"/>
      <c r="IH25" s="646"/>
      <c r="II25" s="646"/>
      <c r="IJ25" s="646"/>
      <c r="IK25" s="646"/>
      <c r="IL25" s="646"/>
      <c r="IM25" s="646"/>
      <c r="IN25" s="646"/>
      <c r="IO25" s="646"/>
      <c r="IP25" s="646"/>
      <c r="IQ25" s="646"/>
      <c r="IR25" s="646"/>
      <c r="IS25" s="646"/>
      <c r="IT25" s="646"/>
      <c r="IU25" s="646"/>
      <c r="IV25" s="646"/>
      <c r="IW25" s="646"/>
      <c r="IX25" s="646"/>
      <c r="IY25" s="646"/>
      <c r="IZ25" s="646"/>
      <c r="JA25" s="646"/>
      <c r="JB25" s="646"/>
      <c r="JC25" s="646"/>
      <c r="JD25" s="646"/>
      <c r="JE25" s="646"/>
      <c r="JF25" s="646"/>
      <c r="JG25" s="646"/>
      <c r="JH25" s="646"/>
      <c r="JI25" s="646"/>
      <c r="JJ25" s="646"/>
      <c r="JK25" s="646"/>
      <c r="JL25" s="646"/>
      <c r="JM25" s="646"/>
      <c r="JN25" s="646"/>
      <c r="JO25" s="646"/>
      <c r="JP25" s="646"/>
      <c r="JQ25" s="646"/>
      <c r="JR25" s="646"/>
      <c r="JS25" s="646"/>
      <c r="JT25" s="646"/>
      <c r="JU25" s="646"/>
      <c r="JV25" s="646"/>
      <c r="JW25" s="646"/>
      <c r="JX25" s="646"/>
      <c r="JY25" s="646"/>
      <c r="JZ25" s="646"/>
      <c r="KA25" s="646"/>
      <c r="KB25" s="646"/>
      <c r="KC25" s="646"/>
      <c r="KD25" s="646"/>
      <c r="KE25" s="646"/>
      <c r="KF25" s="646"/>
      <c r="KG25" s="646"/>
      <c r="KH25" s="646"/>
      <c r="KI25" s="646"/>
      <c r="KJ25" s="646"/>
      <c r="KK25" s="646"/>
      <c r="KL25" s="646"/>
    </row>
    <row r="26" spans="1:298" s="647" customFormat="1" ht="20.100000000000001" customHeight="1" x14ac:dyDescent="0.3">
      <c r="A26" s="611"/>
      <c r="B26" s="1016" t="s">
        <v>1848</v>
      </c>
      <c r="C26" s="1198" t="s">
        <v>1871</v>
      </c>
      <c r="D26" s="1185"/>
      <c r="E26" s="1185"/>
      <c r="F26" s="1186"/>
      <c r="G26" s="993"/>
      <c r="H26" s="872"/>
      <c r="I26" s="872"/>
      <c r="J26" s="872"/>
      <c r="K26" s="987"/>
      <c r="L26" s="872"/>
      <c r="M26" s="872"/>
      <c r="N26" s="872"/>
      <c r="O26" s="986"/>
      <c r="P26" s="986"/>
      <c r="Q26" s="986"/>
      <c r="R26" s="1007"/>
      <c r="S26" s="1024"/>
      <c r="T26" s="986"/>
      <c r="U26" s="1004"/>
      <c r="V26" s="1004"/>
      <c r="W26" s="1004"/>
      <c r="X26" s="1004"/>
      <c r="Y26" s="648"/>
      <c r="Z26" s="649"/>
      <c r="AA26" s="649"/>
      <c r="AB26" s="649"/>
      <c r="AC26" s="649"/>
      <c r="AD26" s="649"/>
      <c r="AE26" s="649"/>
      <c r="AF26" s="649"/>
      <c r="AG26" s="649"/>
      <c r="AH26" s="649"/>
      <c r="AI26" s="649"/>
      <c r="AJ26" s="650"/>
      <c r="AK26" s="861"/>
      <c r="AL26" s="651"/>
      <c r="AM26" s="646"/>
      <c r="AN26" s="646"/>
      <c r="AO26" s="646"/>
      <c r="AP26" s="646"/>
      <c r="AQ26" s="646"/>
      <c r="AR26" s="646"/>
      <c r="AS26" s="646"/>
      <c r="AT26" s="646"/>
      <c r="AU26" s="646"/>
      <c r="AV26" s="646"/>
      <c r="AW26" s="646"/>
      <c r="AX26" s="646"/>
      <c r="AY26" s="646"/>
      <c r="AZ26" s="646"/>
      <c r="BA26" s="646"/>
      <c r="BB26" s="646"/>
      <c r="BC26" s="646"/>
      <c r="BD26" s="646"/>
      <c r="BE26" s="646"/>
      <c r="BF26" s="646"/>
      <c r="BG26" s="646"/>
      <c r="BH26" s="646"/>
      <c r="BI26" s="646"/>
      <c r="BJ26" s="646"/>
      <c r="BK26" s="646"/>
      <c r="BL26" s="646"/>
      <c r="BM26" s="646"/>
      <c r="BN26" s="646"/>
      <c r="BO26" s="646"/>
      <c r="BP26" s="646"/>
      <c r="BQ26" s="646"/>
      <c r="BR26" s="646"/>
      <c r="BS26" s="646"/>
      <c r="BT26" s="646"/>
      <c r="BU26" s="646"/>
      <c r="BV26" s="646"/>
      <c r="BW26" s="646"/>
      <c r="BX26" s="646"/>
      <c r="BY26" s="646"/>
      <c r="BZ26" s="646"/>
      <c r="CA26" s="646"/>
      <c r="CB26" s="646"/>
      <c r="CC26" s="646"/>
      <c r="CD26" s="646"/>
      <c r="CE26" s="646"/>
      <c r="CF26" s="646"/>
      <c r="CG26" s="646"/>
      <c r="CH26" s="646"/>
      <c r="CI26" s="646"/>
      <c r="CJ26" s="646"/>
      <c r="CK26" s="646"/>
      <c r="CL26" s="646"/>
      <c r="CM26" s="646"/>
      <c r="CN26" s="646"/>
      <c r="CO26" s="646"/>
      <c r="CP26" s="646"/>
      <c r="CQ26" s="646"/>
      <c r="CR26" s="646"/>
      <c r="CS26" s="646"/>
      <c r="CT26" s="646"/>
      <c r="CU26" s="646"/>
      <c r="CV26" s="646"/>
      <c r="CW26" s="646"/>
      <c r="CX26" s="646"/>
      <c r="CY26" s="646"/>
      <c r="CZ26" s="646"/>
      <c r="DA26" s="646"/>
      <c r="DB26" s="646"/>
      <c r="DC26" s="646"/>
      <c r="DD26" s="646"/>
      <c r="DE26" s="646"/>
      <c r="DF26" s="646"/>
      <c r="DG26" s="646"/>
      <c r="DH26" s="646"/>
      <c r="DI26" s="646"/>
      <c r="DJ26" s="646"/>
      <c r="DK26" s="646"/>
      <c r="DL26" s="646"/>
      <c r="DM26" s="646"/>
      <c r="DN26" s="646"/>
      <c r="DO26" s="646"/>
      <c r="DP26" s="646"/>
      <c r="DQ26" s="646"/>
      <c r="DR26" s="646"/>
      <c r="DS26" s="646"/>
      <c r="DT26" s="646"/>
      <c r="DU26" s="646"/>
      <c r="DV26" s="646"/>
      <c r="DW26" s="646"/>
      <c r="DX26" s="646"/>
      <c r="DY26" s="646"/>
      <c r="DZ26" s="646"/>
      <c r="EA26" s="646"/>
      <c r="EB26" s="646"/>
      <c r="EC26" s="646"/>
      <c r="ED26" s="646"/>
      <c r="EE26" s="646"/>
      <c r="EF26" s="646"/>
      <c r="EG26" s="646"/>
      <c r="EH26" s="646"/>
      <c r="EI26" s="646"/>
      <c r="EJ26" s="646"/>
      <c r="EK26" s="646"/>
      <c r="EL26" s="646"/>
      <c r="EM26" s="646"/>
      <c r="EN26" s="646"/>
      <c r="EO26" s="646"/>
      <c r="EP26" s="646"/>
      <c r="EQ26" s="646"/>
      <c r="ER26" s="646"/>
      <c r="ES26" s="646"/>
      <c r="ET26" s="646"/>
      <c r="EU26" s="646"/>
      <c r="EV26" s="646"/>
      <c r="EW26" s="646"/>
      <c r="EX26" s="646"/>
      <c r="EY26" s="646"/>
      <c r="EZ26" s="646"/>
      <c r="FA26" s="646"/>
      <c r="FB26" s="646"/>
      <c r="FC26" s="646"/>
      <c r="FD26" s="646"/>
      <c r="FE26" s="646"/>
      <c r="FF26" s="646"/>
      <c r="FG26" s="646"/>
      <c r="FH26" s="646"/>
      <c r="FI26" s="646"/>
      <c r="FJ26" s="646"/>
      <c r="FK26" s="646"/>
      <c r="FL26" s="646"/>
      <c r="FM26" s="646"/>
      <c r="FN26" s="646"/>
      <c r="FO26" s="646"/>
      <c r="FP26" s="646"/>
      <c r="FQ26" s="646"/>
      <c r="FR26" s="646"/>
      <c r="FS26" s="646"/>
      <c r="FT26" s="646"/>
      <c r="FU26" s="646"/>
      <c r="FV26" s="646"/>
      <c r="FW26" s="646"/>
      <c r="FX26" s="646"/>
      <c r="FY26" s="646"/>
      <c r="FZ26" s="646"/>
      <c r="GA26" s="646"/>
      <c r="GB26" s="646"/>
      <c r="GC26" s="646"/>
      <c r="GD26" s="646"/>
      <c r="GE26" s="646"/>
      <c r="GF26" s="646"/>
      <c r="GG26" s="646"/>
      <c r="GH26" s="646"/>
      <c r="GI26" s="646"/>
      <c r="GJ26" s="646"/>
      <c r="GK26" s="646"/>
      <c r="GL26" s="646"/>
      <c r="GM26" s="646"/>
      <c r="GN26" s="646"/>
      <c r="GO26" s="646"/>
      <c r="GP26" s="646"/>
      <c r="GQ26" s="646"/>
      <c r="GR26" s="646"/>
      <c r="GS26" s="646"/>
      <c r="GT26" s="646"/>
      <c r="GU26" s="646"/>
      <c r="GV26" s="646"/>
      <c r="GW26" s="646"/>
      <c r="GX26" s="646"/>
      <c r="GY26" s="646"/>
      <c r="GZ26" s="646"/>
      <c r="HA26" s="646"/>
      <c r="HB26" s="646"/>
      <c r="HC26" s="646"/>
      <c r="HD26" s="646"/>
      <c r="HE26" s="646"/>
      <c r="HF26" s="646"/>
      <c r="HG26" s="646"/>
      <c r="HH26" s="646"/>
      <c r="HI26" s="646"/>
      <c r="HJ26" s="646"/>
      <c r="HK26" s="646"/>
      <c r="HL26" s="646"/>
      <c r="HM26" s="646"/>
      <c r="HN26" s="646"/>
      <c r="HO26" s="646"/>
      <c r="HP26" s="646"/>
      <c r="HQ26" s="646"/>
      <c r="HR26" s="646"/>
      <c r="HS26" s="646"/>
      <c r="HT26" s="646"/>
      <c r="HU26" s="646"/>
      <c r="HV26" s="646"/>
      <c r="HW26" s="646"/>
      <c r="HX26" s="646"/>
      <c r="HY26" s="646"/>
      <c r="HZ26" s="646"/>
      <c r="IA26" s="646"/>
      <c r="IB26" s="646"/>
      <c r="IC26" s="646"/>
      <c r="ID26" s="646"/>
      <c r="IE26" s="646"/>
      <c r="IF26" s="646"/>
      <c r="IG26" s="646"/>
      <c r="IH26" s="646"/>
      <c r="II26" s="646"/>
      <c r="IJ26" s="646"/>
      <c r="IK26" s="646"/>
      <c r="IL26" s="646"/>
      <c r="IM26" s="646"/>
      <c r="IN26" s="646"/>
      <c r="IO26" s="646"/>
      <c r="IP26" s="646"/>
      <c r="IQ26" s="646"/>
      <c r="IR26" s="646"/>
      <c r="IS26" s="646"/>
      <c r="IT26" s="646"/>
      <c r="IU26" s="646"/>
      <c r="IV26" s="646"/>
      <c r="IW26" s="646"/>
      <c r="IX26" s="646"/>
      <c r="IY26" s="646"/>
      <c r="IZ26" s="646"/>
      <c r="JA26" s="646"/>
      <c r="JB26" s="646"/>
      <c r="JC26" s="646"/>
      <c r="JD26" s="646"/>
      <c r="JE26" s="646"/>
      <c r="JF26" s="646"/>
      <c r="JG26" s="646"/>
      <c r="JH26" s="646"/>
      <c r="JI26" s="646"/>
      <c r="JJ26" s="646"/>
      <c r="JK26" s="646"/>
      <c r="JL26" s="646"/>
      <c r="JM26" s="646"/>
      <c r="JN26" s="646"/>
      <c r="JO26" s="646"/>
      <c r="JP26" s="646"/>
      <c r="JQ26" s="646"/>
      <c r="JR26" s="646"/>
      <c r="JS26" s="646"/>
      <c r="JT26" s="646"/>
      <c r="JU26" s="646"/>
      <c r="JV26" s="646"/>
      <c r="JW26" s="646"/>
      <c r="JX26" s="646"/>
      <c r="JY26" s="646"/>
      <c r="JZ26" s="646"/>
      <c r="KA26" s="646"/>
      <c r="KB26" s="646"/>
      <c r="KC26" s="646"/>
      <c r="KD26" s="646"/>
      <c r="KE26" s="646"/>
      <c r="KF26" s="646"/>
      <c r="KG26" s="646"/>
      <c r="KH26" s="646"/>
      <c r="KI26" s="646"/>
      <c r="KJ26" s="646"/>
      <c r="KK26" s="646"/>
      <c r="KL26" s="646"/>
    </row>
    <row r="27" spans="1:298" s="647" customFormat="1" ht="20.100000000000001" customHeight="1" x14ac:dyDescent="0.3">
      <c r="A27" s="611"/>
      <c r="B27" s="1016" t="s">
        <v>1849</v>
      </c>
      <c r="C27" s="1185" t="s">
        <v>567</v>
      </c>
      <c r="D27" s="1185"/>
      <c r="E27" s="1185"/>
      <c r="F27" s="1186"/>
      <c r="G27" s="993"/>
      <c r="H27" s="872"/>
      <c r="I27" s="872"/>
      <c r="J27" s="872"/>
      <c r="K27" s="987"/>
      <c r="L27" s="872"/>
      <c r="M27" s="872"/>
      <c r="N27" s="872"/>
      <c r="O27" s="986"/>
      <c r="P27" s="986"/>
      <c r="Q27" s="986"/>
      <c r="R27" s="1007"/>
      <c r="S27" s="1024"/>
      <c r="T27" s="986"/>
      <c r="U27" s="1004"/>
      <c r="V27" s="1004"/>
      <c r="W27" s="1004"/>
      <c r="X27" s="1004"/>
      <c r="Y27" s="648"/>
      <c r="Z27" s="649"/>
      <c r="AA27" s="649"/>
      <c r="AB27" s="649"/>
      <c r="AC27" s="649"/>
      <c r="AD27" s="649"/>
      <c r="AE27" s="649"/>
      <c r="AF27" s="649"/>
      <c r="AG27" s="649"/>
      <c r="AH27" s="649"/>
      <c r="AI27" s="649"/>
      <c r="AJ27" s="650"/>
      <c r="AK27" s="861"/>
      <c r="AL27" s="651"/>
      <c r="AM27" s="646"/>
      <c r="AN27" s="646"/>
      <c r="AO27" s="646"/>
      <c r="AP27" s="646"/>
      <c r="AQ27" s="646"/>
      <c r="AR27" s="646"/>
      <c r="AS27" s="646"/>
      <c r="AT27" s="646"/>
      <c r="AU27" s="646"/>
      <c r="AV27" s="646"/>
      <c r="AW27" s="646"/>
      <c r="AX27" s="646"/>
      <c r="AY27" s="646"/>
      <c r="AZ27" s="646"/>
      <c r="BA27" s="646"/>
      <c r="BB27" s="646"/>
      <c r="BC27" s="646"/>
      <c r="BD27" s="646"/>
      <c r="BE27" s="646"/>
      <c r="BF27" s="646"/>
      <c r="BG27" s="646"/>
      <c r="BH27" s="646"/>
      <c r="BI27" s="646"/>
      <c r="BJ27" s="646"/>
      <c r="BK27" s="646"/>
      <c r="BL27" s="646"/>
      <c r="BM27" s="646"/>
      <c r="BN27" s="646"/>
      <c r="BO27" s="646"/>
      <c r="BP27" s="646"/>
      <c r="BQ27" s="646"/>
      <c r="BR27" s="646"/>
      <c r="BS27" s="646"/>
      <c r="BT27" s="646"/>
      <c r="BU27" s="646"/>
      <c r="BV27" s="646"/>
      <c r="BW27" s="646"/>
      <c r="BX27" s="646"/>
      <c r="BY27" s="646"/>
      <c r="BZ27" s="646"/>
      <c r="CA27" s="646"/>
      <c r="CB27" s="646"/>
      <c r="CC27" s="646"/>
      <c r="CD27" s="646"/>
      <c r="CE27" s="646"/>
      <c r="CF27" s="646"/>
      <c r="CG27" s="646"/>
      <c r="CH27" s="646"/>
      <c r="CI27" s="646"/>
      <c r="CJ27" s="646"/>
      <c r="CK27" s="646"/>
      <c r="CL27" s="646"/>
      <c r="CM27" s="646"/>
      <c r="CN27" s="646"/>
      <c r="CO27" s="646"/>
      <c r="CP27" s="646"/>
      <c r="CQ27" s="646"/>
      <c r="CR27" s="646"/>
      <c r="CS27" s="646"/>
      <c r="CT27" s="646"/>
      <c r="CU27" s="646"/>
      <c r="CV27" s="646"/>
      <c r="CW27" s="646"/>
      <c r="CX27" s="646"/>
      <c r="CY27" s="646"/>
      <c r="CZ27" s="646"/>
      <c r="DA27" s="646"/>
      <c r="DB27" s="646"/>
      <c r="DC27" s="646"/>
      <c r="DD27" s="646"/>
      <c r="DE27" s="646"/>
      <c r="DF27" s="646"/>
      <c r="DG27" s="646"/>
      <c r="DH27" s="646"/>
      <c r="DI27" s="646"/>
      <c r="DJ27" s="646"/>
      <c r="DK27" s="646"/>
      <c r="DL27" s="646"/>
      <c r="DM27" s="646"/>
      <c r="DN27" s="646"/>
      <c r="DO27" s="646"/>
      <c r="DP27" s="646"/>
      <c r="DQ27" s="646"/>
      <c r="DR27" s="646"/>
      <c r="DS27" s="646"/>
      <c r="DT27" s="646"/>
      <c r="DU27" s="646"/>
      <c r="DV27" s="646"/>
      <c r="DW27" s="646"/>
      <c r="DX27" s="646"/>
      <c r="DY27" s="646"/>
      <c r="DZ27" s="646"/>
      <c r="EA27" s="646"/>
      <c r="EB27" s="646"/>
      <c r="EC27" s="646"/>
      <c r="ED27" s="646"/>
      <c r="EE27" s="646"/>
      <c r="EF27" s="646"/>
      <c r="EG27" s="646"/>
      <c r="EH27" s="646"/>
      <c r="EI27" s="646"/>
      <c r="EJ27" s="646"/>
      <c r="EK27" s="646"/>
      <c r="EL27" s="646"/>
      <c r="EM27" s="646"/>
      <c r="EN27" s="646"/>
      <c r="EO27" s="646"/>
      <c r="EP27" s="646"/>
      <c r="EQ27" s="646"/>
      <c r="ER27" s="646"/>
      <c r="ES27" s="646"/>
      <c r="ET27" s="646"/>
      <c r="EU27" s="646"/>
      <c r="EV27" s="646"/>
      <c r="EW27" s="646"/>
      <c r="EX27" s="646"/>
      <c r="EY27" s="646"/>
      <c r="EZ27" s="646"/>
      <c r="FA27" s="646"/>
      <c r="FB27" s="646"/>
      <c r="FC27" s="646"/>
      <c r="FD27" s="646"/>
      <c r="FE27" s="646"/>
      <c r="FF27" s="646"/>
      <c r="FG27" s="646"/>
      <c r="FH27" s="646"/>
      <c r="FI27" s="646"/>
      <c r="FJ27" s="646"/>
      <c r="FK27" s="646"/>
      <c r="FL27" s="646"/>
      <c r="FM27" s="646"/>
      <c r="FN27" s="646"/>
      <c r="FO27" s="646"/>
      <c r="FP27" s="646"/>
      <c r="FQ27" s="646"/>
      <c r="FR27" s="646"/>
      <c r="FS27" s="646"/>
      <c r="FT27" s="646"/>
      <c r="FU27" s="646"/>
      <c r="FV27" s="646"/>
      <c r="FW27" s="646"/>
      <c r="FX27" s="646"/>
      <c r="FY27" s="646"/>
      <c r="FZ27" s="646"/>
      <c r="GA27" s="646"/>
      <c r="GB27" s="646"/>
      <c r="GC27" s="646"/>
      <c r="GD27" s="646"/>
      <c r="GE27" s="646"/>
      <c r="GF27" s="646"/>
      <c r="GG27" s="646"/>
      <c r="GH27" s="646"/>
      <c r="GI27" s="646"/>
      <c r="GJ27" s="646"/>
      <c r="GK27" s="646"/>
      <c r="GL27" s="646"/>
      <c r="GM27" s="646"/>
      <c r="GN27" s="646"/>
      <c r="GO27" s="646"/>
      <c r="GP27" s="646"/>
      <c r="GQ27" s="646"/>
      <c r="GR27" s="646"/>
      <c r="GS27" s="646"/>
      <c r="GT27" s="646"/>
      <c r="GU27" s="646"/>
      <c r="GV27" s="646"/>
      <c r="GW27" s="646"/>
      <c r="GX27" s="646"/>
      <c r="GY27" s="646"/>
      <c r="GZ27" s="646"/>
      <c r="HA27" s="646"/>
      <c r="HB27" s="646"/>
      <c r="HC27" s="646"/>
      <c r="HD27" s="646"/>
      <c r="HE27" s="646"/>
      <c r="HF27" s="646"/>
      <c r="HG27" s="646"/>
      <c r="HH27" s="646"/>
      <c r="HI27" s="646"/>
      <c r="HJ27" s="646"/>
      <c r="HK27" s="646"/>
      <c r="HL27" s="646"/>
      <c r="HM27" s="646"/>
      <c r="HN27" s="646"/>
      <c r="HO27" s="646"/>
      <c r="HP27" s="646"/>
      <c r="HQ27" s="646"/>
      <c r="HR27" s="646"/>
      <c r="HS27" s="646"/>
      <c r="HT27" s="646"/>
      <c r="HU27" s="646"/>
      <c r="HV27" s="646"/>
      <c r="HW27" s="646"/>
      <c r="HX27" s="646"/>
      <c r="HY27" s="646"/>
      <c r="HZ27" s="646"/>
      <c r="IA27" s="646"/>
      <c r="IB27" s="646"/>
      <c r="IC27" s="646"/>
      <c r="ID27" s="646"/>
      <c r="IE27" s="646"/>
      <c r="IF27" s="646"/>
      <c r="IG27" s="646"/>
      <c r="IH27" s="646"/>
      <c r="II27" s="646"/>
      <c r="IJ27" s="646"/>
      <c r="IK27" s="646"/>
      <c r="IL27" s="646"/>
      <c r="IM27" s="646"/>
      <c r="IN27" s="646"/>
      <c r="IO27" s="646"/>
      <c r="IP27" s="646"/>
      <c r="IQ27" s="646"/>
      <c r="IR27" s="646"/>
      <c r="IS27" s="646"/>
      <c r="IT27" s="646"/>
      <c r="IU27" s="646"/>
      <c r="IV27" s="646"/>
      <c r="IW27" s="646"/>
      <c r="IX27" s="646"/>
      <c r="IY27" s="646"/>
      <c r="IZ27" s="646"/>
      <c r="JA27" s="646"/>
      <c r="JB27" s="646"/>
      <c r="JC27" s="646"/>
      <c r="JD27" s="646"/>
      <c r="JE27" s="646"/>
      <c r="JF27" s="646"/>
      <c r="JG27" s="646"/>
      <c r="JH27" s="646"/>
      <c r="JI27" s="646"/>
      <c r="JJ27" s="646"/>
      <c r="JK27" s="646"/>
      <c r="JL27" s="646"/>
      <c r="JM27" s="646"/>
      <c r="JN27" s="646"/>
      <c r="JO27" s="646"/>
      <c r="JP27" s="646"/>
      <c r="JQ27" s="646"/>
      <c r="JR27" s="646"/>
      <c r="JS27" s="646"/>
      <c r="JT27" s="646"/>
      <c r="JU27" s="646"/>
      <c r="JV27" s="646"/>
      <c r="JW27" s="646"/>
      <c r="JX27" s="646"/>
      <c r="JY27" s="646"/>
      <c r="JZ27" s="646"/>
      <c r="KA27" s="646"/>
      <c r="KB27" s="646"/>
      <c r="KC27" s="646"/>
      <c r="KD27" s="646"/>
      <c r="KE27" s="646"/>
      <c r="KF27" s="646"/>
      <c r="KG27" s="646"/>
      <c r="KH27" s="646"/>
      <c r="KI27" s="646"/>
      <c r="KJ27" s="646"/>
      <c r="KK27" s="646"/>
      <c r="KL27" s="646"/>
    </row>
    <row r="28" spans="1:298" s="647" customFormat="1" ht="20.100000000000001" customHeight="1" x14ac:dyDescent="0.3">
      <c r="A28" s="611"/>
      <c r="B28" s="1016" t="s">
        <v>1850</v>
      </c>
      <c r="C28" s="1185" t="s">
        <v>566</v>
      </c>
      <c r="D28" s="1185"/>
      <c r="E28" s="1185"/>
      <c r="F28" s="1186"/>
      <c r="G28" s="993"/>
      <c r="H28" s="872"/>
      <c r="I28" s="872"/>
      <c r="J28" s="872"/>
      <c r="K28" s="987"/>
      <c r="L28" s="872"/>
      <c r="M28" s="872"/>
      <c r="N28" s="872"/>
      <c r="O28" s="986"/>
      <c r="P28" s="986"/>
      <c r="Q28" s="986"/>
      <c r="R28" s="1007"/>
      <c r="S28" s="1024"/>
      <c r="T28" s="986"/>
      <c r="U28" s="986"/>
      <c r="V28" s="986"/>
      <c r="W28" s="986"/>
      <c r="X28" s="986"/>
      <c r="Y28" s="648"/>
      <c r="Z28" s="649"/>
      <c r="AA28" s="649"/>
      <c r="AB28" s="649"/>
      <c r="AC28" s="649"/>
      <c r="AD28" s="649"/>
      <c r="AE28" s="649"/>
      <c r="AF28" s="649"/>
      <c r="AG28" s="649"/>
      <c r="AH28" s="649"/>
      <c r="AI28" s="649"/>
      <c r="AJ28" s="650"/>
      <c r="AK28" s="861"/>
      <c r="AL28" s="651"/>
      <c r="AM28" s="646"/>
      <c r="AN28" s="646"/>
      <c r="AO28" s="646"/>
      <c r="AP28" s="646"/>
      <c r="AQ28" s="646"/>
      <c r="AR28" s="646"/>
      <c r="AS28" s="646"/>
      <c r="AT28" s="646"/>
      <c r="AU28" s="646"/>
      <c r="AV28" s="646"/>
      <c r="AW28" s="646"/>
      <c r="AX28" s="646"/>
      <c r="AY28" s="646"/>
      <c r="AZ28" s="646"/>
      <c r="BA28" s="646"/>
      <c r="BB28" s="646"/>
      <c r="BC28" s="646"/>
      <c r="BD28" s="646"/>
      <c r="BE28" s="646"/>
      <c r="BF28" s="646"/>
      <c r="BG28" s="646"/>
      <c r="BH28" s="646"/>
      <c r="BI28" s="646"/>
      <c r="BJ28" s="646"/>
      <c r="BK28" s="646"/>
      <c r="BL28" s="646"/>
      <c r="BM28" s="646"/>
      <c r="BN28" s="646"/>
      <c r="BO28" s="646"/>
      <c r="BP28" s="646"/>
      <c r="BQ28" s="646"/>
      <c r="BR28" s="646"/>
      <c r="BS28" s="646"/>
      <c r="BT28" s="646"/>
      <c r="BU28" s="646"/>
      <c r="BV28" s="646"/>
      <c r="BW28" s="646"/>
      <c r="BX28" s="646"/>
      <c r="BY28" s="646"/>
      <c r="BZ28" s="646"/>
      <c r="CA28" s="646"/>
      <c r="CB28" s="646"/>
      <c r="CC28" s="646"/>
      <c r="CD28" s="646"/>
      <c r="CE28" s="646"/>
      <c r="CF28" s="646"/>
      <c r="CG28" s="646"/>
      <c r="CH28" s="646"/>
      <c r="CI28" s="646"/>
      <c r="CJ28" s="646"/>
      <c r="CK28" s="646"/>
      <c r="CL28" s="646"/>
      <c r="CM28" s="646"/>
      <c r="CN28" s="646"/>
      <c r="CO28" s="646"/>
      <c r="CP28" s="646"/>
      <c r="CQ28" s="646"/>
      <c r="CR28" s="646"/>
      <c r="CS28" s="646"/>
      <c r="CT28" s="646"/>
      <c r="CU28" s="646"/>
      <c r="CV28" s="646"/>
      <c r="CW28" s="646"/>
      <c r="CX28" s="646"/>
      <c r="CY28" s="646"/>
      <c r="CZ28" s="646"/>
      <c r="DA28" s="646"/>
      <c r="DB28" s="646"/>
      <c r="DC28" s="646"/>
      <c r="DD28" s="646"/>
      <c r="DE28" s="646"/>
      <c r="DF28" s="646"/>
      <c r="DG28" s="646"/>
      <c r="DH28" s="646"/>
      <c r="DI28" s="646"/>
      <c r="DJ28" s="646"/>
      <c r="DK28" s="646"/>
      <c r="DL28" s="646"/>
      <c r="DM28" s="646"/>
      <c r="DN28" s="646"/>
      <c r="DO28" s="646"/>
      <c r="DP28" s="646"/>
      <c r="DQ28" s="646"/>
      <c r="DR28" s="646"/>
      <c r="DS28" s="646"/>
      <c r="DT28" s="646"/>
      <c r="DU28" s="646"/>
      <c r="DV28" s="646"/>
      <c r="DW28" s="646"/>
      <c r="DX28" s="646"/>
      <c r="DY28" s="646"/>
      <c r="DZ28" s="646"/>
      <c r="EA28" s="646"/>
      <c r="EB28" s="646"/>
      <c r="EC28" s="646"/>
      <c r="ED28" s="646"/>
      <c r="EE28" s="646"/>
      <c r="EF28" s="646"/>
      <c r="EG28" s="646"/>
      <c r="EH28" s="646"/>
      <c r="EI28" s="646"/>
      <c r="EJ28" s="646"/>
      <c r="EK28" s="646"/>
      <c r="EL28" s="646"/>
      <c r="EM28" s="646"/>
      <c r="EN28" s="646"/>
      <c r="EO28" s="646"/>
      <c r="EP28" s="646"/>
      <c r="EQ28" s="646"/>
      <c r="ER28" s="646"/>
      <c r="ES28" s="646"/>
      <c r="ET28" s="646"/>
      <c r="EU28" s="646"/>
      <c r="EV28" s="646"/>
      <c r="EW28" s="646"/>
      <c r="EX28" s="646"/>
      <c r="EY28" s="646"/>
      <c r="EZ28" s="646"/>
      <c r="FA28" s="646"/>
      <c r="FB28" s="646"/>
      <c r="FC28" s="646"/>
      <c r="FD28" s="646"/>
      <c r="FE28" s="646"/>
      <c r="FF28" s="646"/>
      <c r="FG28" s="646"/>
      <c r="FH28" s="646"/>
      <c r="FI28" s="646"/>
      <c r="FJ28" s="646"/>
      <c r="FK28" s="646"/>
      <c r="FL28" s="646"/>
      <c r="FM28" s="646"/>
      <c r="FN28" s="646"/>
      <c r="FO28" s="646"/>
      <c r="FP28" s="646"/>
      <c r="FQ28" s="646"/>
      <c r="FR28" s="646"/>
      <c r="FS28" s="646"/>
      <c r="FT28" s="646"/>
      <c r="FU28" s="646"/>
      <c r="FV28" s="646"/>
      <c r="FW28" s="646"/>
      <c r="FX28" s="646"/>
      <c r="FY28" s="646"/>
      <c r="FZ28" s="646"/>
      <c r="GA28" s="646"/>
      <c r="GB28" s="646"/>
      <c r="GC28" s="646"/>
      <c r="GD28" s="646"/>
      <c r="GE28" s="646"/>
      <c r="GF28" s="646"/>
      <c r="GG28" s="646"/>
      <c r="GH28" s="646"/>
      <c r="GI28" s="646"/>
      <c r="GJ28" s="646"/>
      <c r="GK28" s="646"/>
      <c r="GL28" s="646"/>
      <c r="GM28" s="646"/>
      <c r="GN28" s="646"/>
      <c r="GO28" s="646"/>
      <c r="GP28" s="646"/>
      <c r="GQ28" s="646"/>
      <c r="GR28" s="646"/>
      <c r="GS28" s="646"/>
      <c r="GT28" s="646"/>
      <c r="GU28" s="646"/>
      <c r="GV28" s="646"/>
      <c r="GW28" s="646"/>
      <c r="GX28" s="646"/>
      <c r="GY28" s="646"/>
      <c r="GZ28" s="646"/>
      <c r="HA28" s="646"/>
      <c r="HB28" s="646"/>
      <c r="HC28" s="646"/>
      <c r="HD28" s="646"/>
      <c r="HE28" s="646"/>
      <c r="HF28" s="646"/>
      <c r="HG28" s="646"/>
      <c r="HH28" s="646"/>
      <c r="HI28" s="646"/>
      <c r="HJ28" s="646"/>
      <c r="HK28" s="646"/>
      <c r="HL28" s="646"/>
      <c r="HM28" s="646"/>
      <c r="HN28" s="646"/>
      <c r="HO28" s="646"/>
      <c r="HP28" s="646"/>
      <c r="HQ28" s="646"/>
      <c r="HR28" s="646"/>
      <c r="HS28" s="646"/>
      <c r="HT28" s="646"/>
      <c r="HU28" s="646"/>
      <c r="HV28" s="646"/>
      <c r="HW28" s="646"/>
      <c r="HX28" s="646"/>
      <c r="HY28" s="646"/>
      <c r="HZ28" s="646"/>
      <c r="IA28" s="646"/>
      <c r="IB28" s="646"/>
      <c r="IC28" s="646"/>
      <c r="ID28" s="646"/>
      <c r="IE28" s="646"/>
      <c r="IF28" s="646"/>
      <c r="IG28" s="646"/>
      <c r="IH28" s="646"/>
      <c r="II28" s="646"/>
      <c r="IJ28" s="646"/>
      <c r="IK28" s="646"/>
      <c r="IL28" s="646"/>
      <c r="IM28" s="646"/>
      <c r="IN28" s="646"/>
      <c r="IO28" s="646"/>
      <c r="IP28" s="646"/>
      <c r="IQ28" s="646"/>
      <c r="IR28" s="646"/>
      <c r="IS28" s="646"/>
      <c r="IT28" s="646"/>
      <c r="IU28" s="646"/>
      <c r="IV28" s="646"/>
      <c r="IW28" s="646"/>
      <c r="IX28" s="646"/>
      <c r="IY28" s="646"/>
      <c r="IZ28" s="646"/>
      <c r="JA28" s="646"/>
      <c r="JB28" s="646"/>
      <c r="JC28" s="646"/>
      <c r="JD28" s="646"/>
      <c r="JE28" s="646"/>
      <c r="JF28" s="646"/>
      <c r="JG28" s="646"/>
      <c r="JH28" s="646"/>
      <c r="JI28" s="646"/>
      <c r="JJ28" s="646"/>
      <c r="JK28" s="646"/>
      <c r="JL28" s="646"/>
      <c r="JM28" s="646"/>
      <c r="JN28" s="646"/>
      <c r="JO28" s="646"/>
      <c r="JP28" s="646"/>
      <c r="JQ28" s="646"/>
      <c r="JR28" s="646"/>
      <c r="JS28" s="646"/>
      <c r="JT28" s="646"/>
      <c r="JU28" s="646"/>
      <c r="JV28" s="646"/>
      <c r="JW28" s="646"/>
      <c r="JX28" s="646"/>
      <c r="JY28" s="646"/>
      <c r="JZ28" s="646"/>
      <c r="KA28" s="646"/>
      <c r="KB28" s="646"/>
      <c r="KC28" s="646"/>
      <c r="KD28" s="646"/>
      <c r="KE28" s="646"/>
      <c r="KF28" s="646"/>
      <c r="KG28" s="646"/>
      <c r="KH28" s="646"/>
      <c r="KI28" s="646"/>
      <c r="KJ28" s="646"/>
      <c r="KK28" s="646"/>
      <c r="KL28" s="646"/>
    </row>
    <row r="29" spans="1:298" s="647" customFormat="1" ht="20.100000000000001" customHeight="1" x14ac:dyDescent="0.3">
      <c r="A29" s="611"/>
      <c r="B29" s="1016" t="s">
        <v>1851</v>
      </c>
      <c r="C29" s="1185" t="s">
        <v>568</v>
      </c>
      <c r="D29" s="1185"/>
      <c r="E29" s="1185"/>
      <c r="F29" s="1186"/>
      <c r="G29" s="993"/>
      <c r="H29" s="872"/>
      <c r="I29" s="872"/>
      <c r="J29" s="872"/>
      <c r="K29" s="987"/>
      <c r="L29" s="870"/>
      <c r="M29" s="870"/>
      <c r="N29" s="870"/>
      <c r="O29" s="1001"/>
      <c r="P29" s="1001"/>
      <c r="Q29" s="1001"/>
      <c r="R29" s="1001"/>
      <c r="S29" s="1001"/>
      <c r="T29" s="1001"/>
      <c r="U29" s="1001"/>
      <c r="V29" s="1001"/>
      <c r="W29" s="1001"/>
      <c r="X29" s="1001"/>
      <c r="Y29" s="648"/>
      <c r="Z29" s="630"/>
      <c r="AA29" s="630"/>
      <c r="AB29" s="630"/>
      <c r="AC29" s="630"/>
      <c r="AD29" s="630"/>
      <c r="AE29" s="630"/>
      <c r="AF29" s="630"/>
      <c r="AG29" s="630"/>
      <c r="AH29" s="630"/>
      <c r="AI29" s="630"/>
      <c r="AJ29" s="631"/>
      <c r="AK29" s="861"/>
      <c r="AL29" s="651"/>
      <c r="AM29" s="646"/>
      <c r="AN29" s="646"/>
      <c r="AO29" s="646"/>
      <c r="AP29" s="646"/>
      <c r="AQ29" s="646"/>
      <c r="AR29" s="646"/>
      <c r="AS29" s="646"/>
      <c r="AT29" s="646"/>
      <c r="AU29" s="646"/>
      <c r="AV29" s="646"/>
      <c r="AW29" s="646"/>
      <c r="AX29" s="646"/>
      <c r="AY29" s="646"/>
      <c r="AZ29" s="646"/>
      <c r="BA29" s="646"/>
      <c r="BB29" s="646"/>
      <c r="BC29" s="646"/>
      <c r="BD29" s="646"/>
      <c r="BE29" s="646"/>
      <c r="BF29" s="646"/>
      <c r="BG29" s="646"/>
      <c r="BH29" s="646"/>
      <c r="BI29" s="646"/>
      <c r="BJ29" s="646"/>
      <c r="BK29" s="646"/>
      <c r="BL29" s="646"/>
      <c r="BM29" s="646"/>
      <c r="BN29" s="646"/>
      <c r="BO29" s="646"/>
      <c r="BP29" s="646"/>
      <c r="BQ29" s="646"/>
      <c r="BR29" s="646"/>
      <c r="BS29" s="646"/>
      <c r="BT29" s="646"/>
      <c r="BU29" s="646"/>
      <c r="BV29" s="646"/>
      <c r="BW29" s="646"/>
      <c r="BX29" s="646"/>
      <c r="BY29" s="646"/>
      <c r="BZ29" s="646"/>
      <c r="CA29" s="646"/>
      <c r="CB29" s="646"/>
      <c r="CC29" s="646"/>
      <c r="CD29" s="646"/>
      <c r="CE29" s="646"/>
      <c r="CF29" s="646"/>
      <c r="CG29" s="646"/>
      <c r="CH29" s="646"/>
      <c r="CI29" s="646"/>
      <c r="CJ29" s="646"/>
      <c r="CK29" s="646"/>
      <c r="CL29" s="646"/>
      <c r="CM29" s="646"/>
      <c r="CN29" s="646"/>
      <c r="CO29" s="646"/>
      <c r="CP29" s="646"/>
      <c r="CQ29" s="646"/>
      <c r="CR29" s="646"/>
      <c r="CS29" s="646"/>
      <c r="CT29" s="646"/>
      <c r="CU29" s="646"/>
      <c r="CV29" s="646"/>
      <c r="CW29" s="646"/>
      <c r="CX29" s="646"/>
      <c r="CY29" s="646"/>
      <c r="CZ29" s="646"/>
      <c r="DA29" s="646"/>
      <c r="DB29" s="646"/>
      <c r="DC29" s="646"/>
      <c r="DD29" s="646"/>
      <c r="DE29" s="646"/>
      <c r="DF29" s="646"/>
      <c r="DG29" s="646"/>
      <c r="DH29" s="646"/>
      <c r="DI29" s="646"/>
      <c r="DJ29" s="646"/>
      <c r="DK29" s="646"/>
      <c r="DL29" s="646"/>
      <c r="DM29" s="646"/>
      <c r="DN29" s="646"/>
      <c r="DO29" s="646"/>
      <c r="DP29" s="646"/>
      <c r="DQ29" s="646"/>
      <c r="DR29" s="646"/>
      <c r="DS29" s="646"/>
      <c r="DT29" s="646"/>
      <c r="DU29" s="646"/>
      <c r="DV29" s="646"/>
      <c r="DW29" s="646"/>
      <c r="DX29" s="646"/>
      <c r="DY29" s="646"/>
      <c r="DZ29" s="646"/>
      <c r="EA29" s="646"/>
      <c r="EB29" s="646"/>
      <c r="EC29" s="646"/>
      <c r="ED29" s="646"/>
      <c r="EE29" s="646"/>
      <c r="EF29" s="646"/>
      <c r="EG29" s="646"/>
      <c r="EH29" s="646"/>
      <c r="EI29" s="646"/>
      <c r="EJ29" s="646"/>
      <c r="EK29" s="646"/>
      <c r="EL29" s="646"/>
      <c r="EM29" s="646"/>
      <c r="EN29" s="646"/>
      <c r="EO29" s="646"/>
      <c r="EP29" s="646"/>
      <c r="EQ29" s="646"/>
      <c r="ER29" s="646"/>
      <c r="ES29" s="646"/>
      <c r="ET29" s="646"/>
      <c r="EU29" s="646"/>
      <c r="EV29" s="646"/>
      <c r="EW29" s="646"/>
      <c r="EX29" s="646"/>
      <c r="EY29" s="646"/>
      <c r="EZ29" s="646"/>
      <c r="FA29" s="646"/>
      <c r="FB29" s="646"/>
      <c r="FC29" s="646"/>
      <c r="FD29" s="646"/>
      <c r="FE29" s="646"/>
      <c r="FF29" s="646"/>
      <c r="FG29" s="646"/>
      <c r="FH29" s="646"/>
      <c r="FI29" s="646"/>
      <c r="FJ29" s="646"/>
      <c r="FK29" s="646"/>
      <c r="FL29" s="646"/>
      <c r="FM29" s="646"/>
      <c r="FN29" s="646"/>
      <c r="FO29" s="646"/>
      <c r="FP29" s="646"/>
      <c r="FQ29" s="646"/>
      <c r="FR29" s="646"/>
      <c r="FS29" s="646"/>
      <c r="FT29" s="646"/>
      <c r="FU29" s="646"/>
      <c r="FV29" s="646"/>
      <c r="FW29" s="646"/>
      <c r="FX29" s="646"/>
      <c r="FY29" s="646"/>
      <c r="FZ29" s="646"/>
      <c r="GA29" s="646"/>
      <c r="GB29" s="646"/>
      <c r="GC29" s="646"/>
      <c r="GD29" s="646"/>
      <c r="GE29" s="646"/>
      <c r="GF29" s="646"/>
      <c r="GG29" s="646"/>
      <c r="GH29" s="646"/>
      <c r="GI29" s="646"/>
      <c r="GJ29" s="646"/>
      <c r="GK29" s="646"/>
      <c r="GL29" s="646"/>
      <c r="GM29" s="646"/>
      <c r="GN29" s="646"/>
      <c r="GO29" s="646"/>
      <c r="GP29" s="646"/>
      <c r="GQ29" s="646"/>
      <c r="GR29" s="646"/>
      <c r="GS29" s="646"/>
      <c r="GT29" s="646"/>
      <c r="GU29" s="646"/>
      <c r="GV29" s="646"/>
      <c r="GW29" s="646"/>
      <c r="GX29" s="646"/>
      <c r="GY29" s="646"/>
      <c r="GZ29" s="646"/>
      <c r="HA29" s="646"/>
      <c r="HB29" s="646"/>
      <c r="HC29" s="646"/>
      <c r="HD29" s="646"/>
      <c r="HE29" s="646"/>
      <c r="HF29" s="646"/>
      <c r="HG29" s="646"/>
      <c r="HH29" s="646"/>
      <c r="HI29" s="646"/>
      <c r="HJ29" s="646"/>
      <c r="HK29" s="646"/>
      <c r="HL29" s="646"/>
      <c r="HM29" s="646"/>
      <c r="HN29" s="646"/>
      <c r="HO29" s="646"/>
      <c r="HP29" s="646"/>
      <c r="HQ29" s="646"/>
      <c r="HR29" s="646"/>
      <c r="HS29" s="646"/>
      <c r="HT29" s="646"/>
      <c r="HU29" s="646"/>
      <c r="HV29" s="646"/>
      <c r="HW29" s="646"/>
      <c r="HX29" s="646"/>
      <c r="HY29" s="646"/>
      <c r="HZ29" s="646"/>
      <c r="IA29" s="646"/>
      <c r="IB29" s="646"/>
      <c r="IC29" s="646"/>
      <c r="ID29" s="646"/>
      <c r="IE29" s="646"/>
      <c r="IF29" s="646"/>
      <c r="IG29" s="646"/>
      <c r="IH29" s="646"/>
      <c r="II29" s="646"/>
      <c r="IJ29" s="646"/>
      <c r="IK29" s="646"/>
      <c r="IL29" s="646"/>
      <c r="IM29" s="646"/>
      <c r="IN29" s="646"/>
      <c r="IO29" s="646"/>
      <c r="IP29" s="646"/>
      <c r="IQ29" s="646"/>
      <c r="IR29" s="646"/>
      <c r="IS29" s="646"/>
      <c r="IT29" s="646"/>
      <c r="IU29" s="646"/>
      <c r="IV29" s="646"/>
      <c r="IW29" s="646"/>
      <c r="IX29" s="646"/>
      <c r="IY29" s="646"/>
      <c r="IZ29" s="646"/>
      <c r="JA29" s="646"/>
      <c r="JB29" s="646"/>
      <c r="JC29" s="646"/>
      <c r="JD29" s="646"/>
      <c r="JE29" s="646"/>
      <c r="JF29" s="646"/>
      <c r="JG29" s="646"/>
      <c r="JH29" s="646"/>
      <c r="JI29" s="646"/>
      <c r="JJ29" s="646"/>
      <c r="JK29" s="646"/>
      <c r="JL29" s="646"/>
      <c r="JM29" s="646"/>
      <c r="JN29" s="646"/>
      <c r="JO29" s="646"/>
      <c r="JP29" s="646"/>
      <c r="JQ29" s="646"/>
      <c r="JR29" s="646"/>
      <c r="JS29" s="646"/>
      <c r="JT29" s="646"/>
      <c r="JU29" s="646"/>
      <c r="JV29" s="646"/>
      <c r="JW29" s="646"/>
      <c r="JX29" s="646"/>
      <c r="JY29" s="646"/>
      <c r="JZ29" s="646"/>
      <c r="KA29" s="646"/>
      <c r="KB29" s="646"/>
      <c r="KC29" s="646"/>
      <c r="KD29" s="646"/>
      <c r="KE29" s="646"/>
      <c r="KF29" s="646"/>
      <c r="KG29" s="646"/>
      <c r="KH29" s="646"/>
      <c r="KI29" s="646"/>
      <c r="KJ29" s="646"/>
      <c r="KK29" s="646"/>
      <c r="KL29" s="646"/>
    </row>
    <row r="30" spans="1:298" s="647" customFormat="1" ht="20.100000000000001" customHeight="1" x14ac:dyDescent="0.3">
      <c r="A30" s="611"/>
      <c r="B30" s="1016" t="s">
        <v>1852</v>
      </c>
      <c r="C30" s="1185" t="s">
        <v>1857</v>
      </c>
      <c r="D30" s="1185"/>
      <c r="E30" s="1185"/>
      <c r="F30" s="1186"/>
      <c r="G30" s="993"/>
      <c r="H30" s="872"/>
      <c r="I30" s="872"/>
      <c r="J30" s="872"/>
      <c r="K30" s="987"/>
      <c r="L30" s="872"/>
      <c r="M30" s="872"/>
      <c r="N30" s="872"/>
      <c r="O30" s="986"/>
      <c r="P30" s="986"/>
      <c r="Q30" s="986"/>
      <c r="R30" s="1007"/>
      <c r="S30" s="1024"/>
      <c r="T30" s="986"/>
      <c r="U30" s="986"/>
      <c r="V30" s="986"/>
      <c r="W30" s="986"/>
      <c r="X30" s="986"/>
      <c r="Y30" s="648"/>
      <c r="Z30" s="630"/>
      <c r="AA30" s="630"/>
      <c r="AB30" s="630"/>
      <c r="AC30" s="630"/>
      <c r="AD30" s="630"/>
      <c r="AE30" s="630"/>
      <c r="AF30" s="630"/>
      <c r="AG30" s="630"/>
      <c r="AH30" s="630"/>
      <c r="AI30" s="630"/>
      <c r="AJ30" s="631"/>
      <c r="AK30" s="861"/>
      <c r="AL30" s="651"/>
      <c r="AM30" s="646"/>
      <c r="AN30" s="646"/>
      <c r="AO30" s="646"/>
      <c r="AP30" s="646"/>
      <c r="AQ30" s="646"/>
      <c r="AR30" s="646"/>
      <c r="AS30" s="646"/>
      <c r="AT30" s="646"/>
      <c r="AU30" s="646"/>
      <c r="AV30" s="646"/>
      <c r="AW30" s="646"/>
      <c r="AX30" s="646"/>
      <c r="AY30" s="646"/>
      <c r="AZ30" s="646"/>
      <c r="BA30" s="646"/>
      <c r="BB30" s="646"/>
      <c r="BC30" s="646"/>
      <c r="BD30" s="646"/>
      <c r="BE30" s="646"/>
      <c r="BF30" s="646"/>
      <c r="BG30" s="646"/>
      <c r="BH30" s="646"/>
      <c r="BI30" s="646"/>
      <c r="BJ30" s="646"/>
      <c r="BK30" s="646"/>
      <c r="BL30" s="646"/>
      <c r="BM30" s="646"/>
      <c r="BN30" s="646"/>
      <c r="BO30" s="646"/>
      <c r="BP30" s="646"/>
      <c r="BQ30" s="646"/>
      <c r="BR30" s="646"/>
      <c r="BS30" s="646"/>
      <c r="BT30" s="646"/>
      <c r="BU30" s="646"/>
      <c r="BV30" s="646"/>
      <c r="BW30" s="646"/>
      <c r="BX30" s="646"/>
      <c r="BY30" s="646"/>
      <c r="BZ30" s="646"/>
      <c r="CA30" s="646"/>
      <c r="CB30" s="646"/>
      <c r="CC30" s="646"/>
      <c r="CD30" s="646"/>
      <c r="CE30" s="646"/>
      <c r="CF30" s="646"/>
      <c r="CG30" s="646"/>
      <c r="CH30" s="646"/>
      <c r="CI30" s="646"/>
      <c r="CJ30" s="646"/>
      <c r="CK30" s="646"/>
      <c r="CL30" s="646"/>
      <c r="CM30" s="646"/>
      <c r="CN30" s="646"/>
      <c r="CO30" s="646"/>
      <c r="CP30" s="646"/>
      <c r="CQ30" s="646"/>
      <c r="CR30" s="646"/>
      <c r="CS30" s="646"/>
      <c r="CT30" s="646"/>
      <c r="CU30" s="646"/>
      <c r="CV30" s="646"/>
      <c r="CW30" s="646"/>
      <c r="CX30" s="646"/>
      <c r="CY30" s="646"/>
      <c r="CZ30" s="646"/>
      <c r="DA30" s="646"/>
      <c r="DB30" s="646"/>
      <c r="DC30" s="646"/>
      <c r="DD30" s="646"/>
      <c r="DE30" s="646"/>
      <c r="DF30" s="646"/>
      <c r="DG30" s="646"/>
      <c r="DH30" s="646"/>
      <c r="DI30" s="646"/>
      <c r="DJ30" s="646"/>
      <c r="DK30" s="646"/>
      <c r="DL30" s="646"/>
      <c r="DM30" s="646"/>
      <c r="DN30" s="646"/>
      <c r="DO30" s="646"/>
      <c r="DP30" s="646"/>
      <c r="DQ30" s="646"/>
      <c r="DR30" s="646"/>
      <c r="DS30" s="646"/>
      <c r="DT30" s="646"/>
      <c r="DU30" s="646"/>
      <c r="DV30" s="646"/>
      <c r="DW30" s="646"/>
      <c r="DX30" s="646"/>
      <c r="DY30" s="646"/>
      <c r="DZ30" s="646"/>
      <c r="EA30" s="646"/>
      <c r="EB30" s="646"/>
      <c r="EC30" s="646"/>
      <c r="ED30" s="646"/>
      <c r="EE30" s="646"/>
      <c r="EF30" s="646"/>
      <c r="EG30" s="646"/>
      <c r="EH30" s="646"/>
      <c r="EI30" s="646"/>
      <c r="EJ30" s="646"/>
      <c r="EK30" s="646"/>
      <c r="EL30" s="646"/>
      <c r="EM30" s="646"/>
      <c r="EN30" s="646"/>
      <c r="EO30" s="646"/>
      <c r="EP30" s="646"/>
      <c r="EQ30" s="646"/>
      <c r="ER30" s="646"/>
      <c r="ES30" s="646"/>
      <c r="ET30" s="646"/>
      <c r="EU30" s="646"/>
      <c r="EV30" s="646"/>
      <c r="EW30" s="646"/>
      <c r="EX30" s="646"/>
      <c r="EY30" s="646"/>
      <c r="EZ30" s="646"/>
      <c r="FA30" s="646"/>
      <c r="FB30" s="646"/>
      <c r="FC30" s="646"/>
      <c r="FD30" s="646"/>
      <c r="FE30" s="646"/>
      <c r="FF30" s="646"/>
      <c r="FG30" s="646"/>
      <c r="FH30" s="646"/>
      <c r="FI30" s="646"/>
      <c r="FJ30" s="646"/>
      <c r="FK30" s="646"/>
      <c r="FL30" s="646"/>
      <c r="FM30" s="646"/>
      <c r="FN30" s="646"/>
      <c r="FO30" s="646"/>
      <c r="FP30" s="646"/>
      <c r="FQ30" s="646"/>
      <c r="FR30" s="646"/>
      <c r="FS30" s="646"/>
      <c r="FT30" s="646"/>
      <c r="FU30" s="646"/>
      <c r="FV30" s="646"/>
      <c r="FW30" s="646"/>
      <c r="FX30" s="646"/>
      <c r="FY30" s="646"/>
      <c r="FZ30" s="646"/>
      <c r="GA30" s="646"/>
      <c r="GB30" s="646"/>
      <c r="GC30" s="646"/>
      <c r="GD30" s="646"/>
      <c r="GE30" s="646"/>
      <c r="GF30" s="646"/>
      <c r="GG30" s="646"/>
      <c r="GH30" s="646"/>
      <c r="GI30" s="646"/>
      <c r="GJ30" s="646"/>
      <c r="GK30" s="646"/>
      <c r="GL30" s="646"/>
      <c r="GM30" s="646"/>
      <c r="GN30" s="646"/>
      <c r="GO30" s="646"/>
      <c r="GP30" s="646"/>
      <c r="GQ30" s="646"/>
      <c r="GR30" s="646"/>
      <c r="GS30" s="646"/>
      <c r="GT30" s="646"/>
      <c r="GU30" s="646"/>
      <c r="GV30" s="646"/>
      <c r="GW30" s="646"/>
      <c r="GX30" s="646"/>
      <c r="GY30" s="646"/>
      <c r="GZ30" s="646"/>
      <c r="HA30" s="646"/>
      <c r="HB30" s="646"/>
      <c r="HC30" s="646"/>
      <c r="HD30" s="646"/>
      <c r="HE30" s="646"/>
      <c r="HF30" s="646"/>
      <c r="HG30" s="646"/>
      <c r="HH30" s="646"/>
      <c r="HI30" s="646"/>
      <c r="HJ30" s="646"/>
      <c r="HK30" s="646"/>
      <c r="HL30" s="646"/>
      <c r="HM30" s="646"/>
      <c r="HN30" s="646"/>
      <c r="HO30" s="646"/>
      <c r="HP30" s="646"/>
      <c r="HQ30" s="646"/>
      <c r="HR30" s="646"/>
      <c r="HS30" s="646"/>
      <c r="HT30" s="646"/>
      <c r="HU30" s="646"/>
      <c r="HV30" s="646"/>
      <c r="HW30" s="646"/>
      <c r="HX30" s="646"/>
      <c r="HY30" s="646"/>
      <c r="HZ30" s="646"/>
      <c r="IA30" s="646"/>
      <c r="IB30" s="646"/>
      <c r="IC30" s="646"/>
      <c r="ID30" s="646"/>
      <c r="IE30" s="646"/>
      <c r="IF30" s="646"/>
      <c r="IG30" s="646"/>
      <c r="IH30" s="646"/>
      <c r="II30" s="646"/>
      <c r="IJ30" s="646"/>
      <c r="IK30" s="646"/>
      <c r="IL30" s="646"/>
      <c r="IM30" s="646"/>
      <c r="IN30" s="646"/>
      <c r="IO30" s="646"/>
      <c r="IP30" s="646"/>
      <c r="IQ30" s="646"/>
      <c r="IR30" s="646"/>
      <c r="IS30" s="646"/>
      <c r="IT30" s="646"/>
      <c r="IU30" s="646"/>
      <c r="IV30" s="646"/>
      <c r="IW30" s="646"/>
      <c r="IX30" s="646"/>
      <c r="IY30" s="646"/>
      <c r="IZ30" s="646"/>
      <c r="JA30" s="646"/>
      <c r="JB30" s="646"/>
      <c r="JC30" s="646"/>
      <c r="JD30" s="646"/>
      <c r="JE30" s="646"/>
      <c r="JF30" s="646"/>
      <c r="JG30" s="646"/>
      <c r="JH30" s="646"/>
      <c r="JI30" s="646"/>
      <c r="JJ30" s="646"/>
      <c r="JK30" s="646"/>
      <c r="JL30" s="646"/>
      <c r="JM30" s="646"/>
      <c r="JN30" s="646"/>
      <c r="JO30" s="646"/>
      <c r="JP30" s="646"/>
      <c r="JQ30" s="646"/>
      <c r="JR30" s="646"/>
      <c r="JS30" s="646"/>
      <c r="JT30" s="646"/>
      <c r="JU30" s="646"/>
      <c r="JV30" s="646"/>
      <c r="JW30" s="646"/>
      <c r="JX30" s="646"/>
      <c r="JY30" s="646"/>
      <c r="JZ30" s="646"/>
      <c r="KA30" s="646"/>
      <c r="KB30" s="646"/>
      <c r="KC30" s="646"/>
      <c r="KD30" s="646"/>
      <c r="KE30" s="646"/>
      <c r="KF30" s="646"/>
      <c r="KG30" s="646"/>
      <c r="KH30" s="646"/>
      <c r="KI30" s="646"/>
      <c r="KJ30" s="646"/>
      <c r="KK30" s="646"/>
      <c r="KL30" s="646"/>
    </row>
    <row r="31" spans="1:298" s="647" customFormat="1" ht="20.100000000000001" customHeight="1" x14ac:dyDescent="0.3">
      <c r="A31" s="611"/>
      <c r="B31" s="1016" t="s">
        <v>1853</v>
      </c>
      <c r="C31" s="1185" t="s">
        <v>569</v>
      </c>
      <c r="D31" s="1185"/>
      <c r="E31" s="1185"/>
      <c r="F31" s="1186"/>
      <c r="G31" s="993"/>
      <c r="H31" s="872"/>
      <c r="I31" s="872"/>
      <c r="J31" s="872"/>
      <c r="K31" s="987"/>
      <c r="L31" s="991"/>
      <c r="M31" s="991"/>
      <c r="N31" s="991"/>
      <c r="O31" s="991"/>
      <c r="P31" s="991"/>
      <c r="Q31" s="991"/>
      <c r="R31" s="992"/>
      <c r="S31" s="1025"/>
      <c r="T31" s="871"/>
      <c r="U31" s="871"/>
      <c r="V31" s="986"/>
      <c r="W31" s="871"/>
      <c r="X31" s="1001"/>
      <c r="Y31" s="653"/>
      <c r="Z31" s="642"/>
      <c r="AA31" s="642"/>
      <c r="AB31" s="642"/>
      <c r="AC31" s="642"/>
      <c r="AD31" s="642"/>
      <c r="AE31" s="642"/>
      <c r="AF31" s="642"/>
      <c r="AG31" s="642"/>
      <c r="AH31" s="642"/>
      <c r="AI31" s="642"/>
      <c r="AJ31" s="643"/>
      <c r="AK31" s="861"/>
      <c r="AL31" s="651"/>
      <c r="AM31" s="646"/>
      <c r="AN31" s="646"/>
      <c r="AO31" s="646"/>
      <c r="AP31" s="646"/>
      <c r="AQ31" s="646"/>
      <c r="AR31" s="646"/>
      <c r="AS31" s="646"/>
      <c r="AT31" s="646"/>
      <c r="AU31" s="646"/>
      <c r="AV31" s="646"/>
      <c r="AW31" s="646"/>
      <c r="AX31" s="646"/>
      <c r="AY31" s="646"/>
      <c r="AZ31" s="646"/>
      <c r="BA31" s="646"/>
      <c r="BB31" s="646"/>
      <c r="BC31" s="646"/>
      <c r="BD31" s="646"/>
      <c r="BE31" s="646"/>
      <c r="BF31" s="646"/>
      <c r="BG31" s="646"/>
      <c r="BH31" s="646"/>
      <c r="BI31" s="646"/>
      <c r="BJ31" s="646"/>
      <c r="BK31" s="646"/>
      <c r="BL31" s="646"/>
      <c r="BM31" s="646"/>
      <c r="BN31" s="646"/>
      <c r="BO31" s="646"/>
      <c r="BP31" s="646"/>
      <c r="BQ31" s="646"/>
      <c r="BR31" s="646"/>
      <c r="BS31" s="646"/>
      <c r="BT31" s="646"/>
      <c r="BU31" s="646"/>
      <c r="BV31" s="646"/>
      <c r="BW31" s="646"/>
      <c r="BX31" s="646"/>
      <c r="BY31" s="646"/>
      <c r="BZ31" s="646"/>
      <c r="CA31" s="646"/>
      <c r="CB31" s="646"/>
      <c r="CC31" s="646"/>
      <c r="CD31" s="646"/>
      <c r="CE31" s="646"/>
      <c r="CF31" s="646"/>
      <c r="CG31" s="646"/>
      <c r="CH31" s="646"/>
      <c r="CI31" s="646"/>
      <c r="CJ31" s="646"/>
      <c r="CK31" s="646"/>
      <c r="CL31" s="646"/>
      <c r="CM31" s="646"/>
      <c r="CN31" s="646"/>
      <c r="CO31" s="646"/>
      <c r="CP31" s="646"/>
      <c r="CQ31" s="646"/>
      <c r="CR31" s="646"/>
      <c r="CS31" s="646"/>
      <c r="CT31" s="646"/>
      <c r="CU31" s="646"/>
      <c r="CV31" s="646"/>
      <c r="CW31" s="646"/>
      <c r="CX31" s="646"/>
      <c r="CY31" s="646"/>
      <c r="CZ31" s="646"/>
      <c r="DA31" s="646"/>
      <c r="DB31" s="646"/>
      <c r="DC31" s="646"/>
      <c r="DD31" s="646"/>
      <c r="DE31" s="646"/>
      <c r="DF31" s="646"/>
      <c r="DG31" s="646"/>
      <c r="DH31" s="646"/>
      <c r="DI31" s="646"/>
      <c r="DJ31" s="646"/>
      <c r="DK31" s="646"/>
      <c r="DL31" s="646"/>
      <c r="DM31" s="646"/>
      <c r="DN31" s="646"/>
      <c r="DO31" s="646"/>
      <c r="DP31" s="646"/>
      <c r="DQ31" s="646"/>
      <c r="DR31" s="646"/>
      <c r="DS31" s="646"/>
      <c r="DT31" s="646"/>
      <c r="DU31" s="646"/>
      <c r="DV31" s="646"/>
      <c r="DW31" s="646"/>
      <c r="DX31" s="646"/>
      <c r="DY31" s="646"/>
      <c r="DZ31" s="646"/>
      <c r="EA31" s="646"/>
      <c r="EB31" s="646"/>
      <c r="EC31" s="646"/>
      <c r="ED31" s="646"/>
      <c r="EE31" s="646"/>
      <c r="EF31" s="646"/>
      <c r="EG31" s="646"/>
      <c r="EH31" s="646"/>
      <c r="EI31" s="646"/>
      <c r="EJ31" s="646"/>
      <c r="EK31" s="646"/>
      <c r="EL31" s="646"/>
      <c r="EM31" s="646"/>
      <c r="EN31" s="646"/>
      <c r="EO31" s="646"/>
      <c r="EP31" s="646"/>
      <c r="EQ31" s="646"/>
      <c r="ER31" s="646"/>
      <c r="ES31" s="646"/>
      <c r="ET31" s="646"/>
      <c r="EU31" s="646"/>
      <c r="EV31" s="646"/>
      <c r="EW31" s="646"/>
      <c r="EX31" s="646"/>
      <c r="EY31" s="646"/>
      <c r="EZ31" s="646"/>
      <c r="FA31" s="646"/>
      <c r="FB31" s="646"/>
      <c r="FC31" s="646"/>
      <c r="FD31" s="646"/>
      <c r="FE31" s="646"/>
      <c r="FF31" s="646"/>
      <c r="FG31" s="646"/>
      <c r="FH31" s="646"/>
      <c r="FI31" s="646"/>
      <c r="FJ31" s="646"/>
      <c r="FK31" s="646"/>
      <c r="FL31" s="646"/>
      <c r="FM31" s="646"/>
      <c r="FN31" s="646"/>
      <c r="FO31" s="646"/>
      <c r="FP31" s="646"/>
      <c r="FQ31" s="646"/>
      <c r="FR31" s="646"/>
      <c r="FS31" s="646"/>
      <c r="FT31" s="646"/>
      <c r="FU31" s="646"/>
      <c r="FV31" s="646"/>
      <c r="FW31" s="646"/>
      <c r="FX31" s="646"/>
      <c r="FY31" s="646"/>
      <c r="FZ31" s="646"/>
      <c r="GA31" s="646"/>
      <c r="GB31" s="646"/>
      <c r="GC31" s="646"/>
      <c r="GD31" s="646"/>
      <c r="GE31" s="646"/>
      <c r="GF31" s="646"/>
      <c r="GG31" s="646"/>
      <c r="GH31" s="646"/>
      <c r="GI31" s="646"/>
      <c r="GJ31" s="646"/>
      <c r="GK31" s="646"/>
      <c r="GL31" s="646"/>
      <c r="GM31" s="646"/>
      <c r="GN31" s="646"/>
      <c r="GO31" s="646"/>
      <c r="GP31" s="646"/>
      <c r="GQ31" s="646"/>
      <c r="GR31" s="646"/>
      <c r="GS31" s="646"/>
      <c r="GT31" s="646"/>
      <c r="GU31" s="646"/>
      <c r="GV31" s="646"/>
      <c r="GW31" s="646"/>
      <c r="GX31" s="646"/>
      <c r="GY31" s="646"/>
      <c r="GZ31" s="646"/>
      <c r="HA31" s="646"/>
      <c r="HB31" s="646"/>
      <c r="HC31" s="646"/>
      <c r="HD31" s="646"/>
      <c r="HE31" s="646"/>
      <c r="HF31" s="646"/>
      <c r="HG31" s="646"/>
      <c r="HH31" s="646"/>
      <c r="HI31" s="646"/>
      <c r="HJ31" s="646"/>
      <c r="HK31" s="646"/>
      <c r="HL31" s="646"/>
      <c r="HM31" s="646"/>
      <c r="HN31" s="646"/>
      <c r="HO31" s="646"/>
      <c r="HP31" s="646"/>
      <c r="HQ31" s="646"/>
      <c r="HR31" s="646"/>
      <c r="HS31" s="646"/>
      <c r="HT31" s="646"/>
      <c r="HU31" s="646"/>
      <c r="HV31" s="646"/>
      <c r="HW31" s="646"/>
      <c r="HX31" s="646"/>
      <c r="HY31" s="646"/>
      <c r="HZ31" s="646"/>
      <c r="IA31" s="646"/>
      <c r="IB31" s="646"/>
      <c r="IC31" s="646"/>
      <c r="ID31" s="646"/>
      <c r="IE31" s="646"/>
      <c r="IF31" s="646"/>
      <c r="IG31" s="646"/>
      <c r="IH31" s="646"/>
      <c r="II31" s="646"/>
      <c r="IJ31" s="646"/>
      <c r="IK31" s="646"/>
      <c r="IL31" s="646"/>
      <c r="IM31" s="646"/>
      <c r="IN31" s="646"/>
      <c r="IO31" s="646"/>
      <c r="IP31" s="646"/>
      <c r="IQ31" s="646"/>
      <c r="IR31" s="646"/>
      <c r="IS31" s="646"/>
      <c r="IT31" s="646"/>
      <c r="IU31" s="646"/>
      <c r="IV31" s="646"/>
      <c r="IW31" s="646"/>
      <c r="IX31" s="646"/>
      <c r="IY31" s="646"/>
      <c r="IZ31" s="646"/>
      <c r="JA31" s="646"/>
      <c r="JB31" s="646"/>
      <c r="JC31" s="646"/>
      <c r="JD31" s="646"/>
      <c r="JE31" s="646"/>
      <c r="JF31" s="646"/>
      <c r="JG31" s="646"/>
      <c r="JH31" s="646"/>
      <c r="JI31" s="646"/>
      <c r="JJ31" s="646"/>
      <c r="JK31" s="646"/>
      <c r="JL31" s="646"/>
      <c r="JM31" s="646"/>
      <c r="JN31" s="646"/>
      <c r="JO31" s="646"/>
      <c r="JP31" s="646"/>
      <c r="JQ31" s="646"/>
      <c r="JR31" s="646"/>
      <c r="JS31" s="646"/>
      <c r="JT31" s="646"/>
      <c r="JU31" s="646"/>
      <c r="JV31" s="646"/>
      <c r="JW31" s="646"/>
      <c r="JX31" s="646"/>
      <c r="JY31" s="646"/>
      <c r="JZ31" s="646"/>
      <c r="KA31" s="646"/>
      <c r="KB31" s="646"/>
      <c r="KC31" s="646"/>
      <c r="KD31" s="646"/>
      <c r="KE31" s="646"/>
      <c r="KF31" s="646"/>
      <c r="KG31" s="646"/>
      <c r="KH31" s="646"/>
      <c r="KI31" s="646"/>
      <c r="KJ31" s="646"/>
      <c r="KK31" s="646"/>
      <c r="KL31" s="646"/>
    </row>
    <row r="32" spans="1:298" ht="20.100000000000001" customHeight="1" x14ac:dyDescent="0.3">
      <c r="A32" s="611"/>
      <c r="B32" s="1015">
        <v>4</v>
      </c>
      <c r="C32" s="1187" t="s">
        <v>570</v>
      </c>
      <c r="D32" s="1187"/>
      <c r="E32" s="1187"/>
      <c r="F32" s="1188"/>
      <c r="G32" s="873"/>
      <c r="H32" s="873"/>
      <c r="I32" s="873"/>
      <c r="J32" s="873"/>
      <c r="K32" s="873"/>
      <c r="L32" s="874"/>
      <c r="M32" s="867"/>
      <c r="N32" s="867"/>
      <c r="O32" s="867"/>
      <c r="P32" s="867"/>
      <c r="Q32" s="867"/>
      <c r="R32" s="868"/>
      <c r="S32" s="866"/>
      <c r="T32" s="867"/>
      <c r="U32" s="867"/>
      <c r="V32" s="867"/>
      <c r="W32" s="867"/>
      <c r="X32" s="867"/>
      <c r="Y32" s="635"/>
      <c r="Z32" s="635"/>
      <c r="AA32" s="635"/>
      <c r="AB32" s="635"/>
      <c r="AC32" s="635"/>
      <c r="AD32" s="635"/>
      <c r="AE32" s="635"/>
      <c r="AF32" s="635"/>
      <c r="AG32" s="635"/>
      <c r="AH32" s="635"/>
      <c r="AI32" s="635"/>
      <c r="AJ32" s="636"/>
      <c r="AK32" s="862"/>
    </row>
    <row r="33" spans="1:298" s="660" customFormat="1" ht="20.100000000000001" customHeight="1" thickBot="1" x14ac:dyDescent="0.35">
      <c r="A33" s="611"/>
      <c r="B33" s="1017" t="s">
        <v>35</v>
      </c>
      <c r="C33" s="1192" t="s">
        <v>571</v>
      </c>
      <c r="D33" s="1193"/>
      <c r="E33" s="1193"/>
      <c r="F33" s="1194"/>
      <c r="G33" s="1019"/>
      <c r="H33" s="875"/>
      <c r="I33" s="875"/>
      <c r="J33" s="875"/>
      <c r="K33" s="876"/>
      <c r="L33" s="877"/>
      <c r="M33" s="878"/>
      <c r="N33" s="878"/>
      <c r="O33" s="878"/>
      <c r="P33" s="878"/>
      <c r="Q33" s="878"/>
      <c r="R33" s="879"/>
      <c r="S33" s="1026"/>
      <c r="T33" s="1027"/>
      <c r="U33" s="1028"/>
      <c r="V33" s="1029"/>
      <c r="W33" s="1029"/>
      <c r="X33" s="1029"/>
      <c r="Y33" s="655"/>
      <c r="Z33" s="654"/>
      <c r="AA33" s="654"/>
      <c r="AB33" s="654"/>
      <c r="AC33" s="654"/>
      <c r="AD33" s="654"/>
      <c r="AE33" s="654"/>
      <c r="AF33" s="654"/>
      <c r="AG33" s="654"/>
      <c r="AH33" s="654"/>
      <c r="AI33" s="654"/>
      <c r="AJ33" s="656"/>
      <c r="AK33" s="863"/>
      <c r="AL33" s="657"/>
      <c r="AM33" s="658"/>
      <c r="AN33" s="659"/>
      <c r="AO33" s="658"/>
      <c r="AP33" s="658"/>
      <c r="AQ33" s="658"/>
      <c r="AR33" s="658"/>
      <c r="AS33" s="658"/>
      <c r="AT33" s="658"/>
      <c r="AU33" s="658"/>
      <c r="AV33" s="658"/>
      <c r="AW33" s="658"/>
      <c r="AX33" s="658"/>
      <c r="AY33" s="658"/>
      <c r="AZ33" s="658"/>
      <c r="BA33" s="658"/>
      <c r="BB33" s="658"/>
      <c r="BC33" s="658"/>
      <c r="BD33" s="658"/>
      <c r="BE33" s="658"/>
      <c r="BF33" s="658"/>
      <c r="BG33" s="658"/>
      <c r="BH33" s="658"/>
      <c r="BI33" s="658"/>
      <c r="BJ33" s="658"/>
      <c r="BK33" s="658"/>
      <c r="BL33" s="658"/>
      <c r="BM33" s="658"/>
      <c r="BN33" s="658"/>
      <c r="BO33" s="658"/>
      <c r="BP33" s="658"/>
      <c r="BQ33" s="658"/>
      <c r="BR33" s="658"/>
      <c r="BS33" s="658"/>
      <c r="BT33" s="658"/>
      <c r="BU33" s="658"/>
      <c r="BV33" s="658"/>
      <c r="BW33" s="658"/>
      <c r="BX33" s="658"/>
      <c r="BY33" s="658"/>
      <c r="BZ33" s="658"/>
      <c r="CA33" s="658"/>
      <c r="CB33" s="658"/>
      <c r="CC33" s="658"/>
      <c r="CD33" s="658"/>
      <c r="CE33" s="658"/>
      <c r="CF33" s="658"/>
      <c r="CG33" s="658"/>
      <c r="CH33" s="658"/>
      <c r="CI33" s="658"/>
      <c r="CJ33" s="658"/>
      <c r="CK33" s="658"/>
      <c r="CL33" s="658"/>
      <c r="CM33" s="658"/>
      <c r="CN33" s="658"/>
      <c r="CO33" s="658"/>
      <c r="CP33" s="658"/>
      <c r="CQ33" s="658"/>
      <c r="CR33" s="658"/>
      <c r="CS33" s="658"/>
      <c r="CT33" s="658"/>
      <c r="CU33" s="658"/>
      <c r="CV33" s="658"/>
      <c r="CW33" s="658"/>
      <c r="CX33" s="658"/>
      <c r="CY33" s="658"/>
      <c r="CZ33" s="658"/>
      <c r="DA33" s="658"/>
      <c r="DB33" s="658"/>
      <c r="DC33" s="658"/>
      <c r="DD33" s="658"/>
      <c r="DE33" s="658"/>
      <c r="DF33" s="658"/>
      <c r="DG33" s="658"/>
      <c r="DH33" s="658"/>
      <c r="DI33" s="658"/>
      <c r="DJ33" s="658"/>
      <c r="DK33" s="658"/>
      <c r="DL33" s="658"/>
      <c r="DM33" s="658"/>
      <c r="DN33" s="658"/>
      <c r="DO33" s="658"/>
      <c r="DP33" s="658"/>
      <c r="DQ33" s="658"/>
      <c r="DR33" s="658"/>
      <c r="DS33" s="658"/>
      <c r="DT33" s="658"/>
      <c r="DU33" s="658"/>
      <c r="DV33" s="658"/>
      <c r="DW33" s="658"/>
      <c r="DX33" s="658"/>
      <c r="DY33" s="658"/>
      <c r="DZ33" s="658"/>
      <c r="EA33" s="658"/>
      <c r="EB33" s="658"/>
      <c r="EC33" s="658"/>
      <c r="ED33" s="658"/>
      <c r="EE33" s="658"/>
      <c r="EF33" s="658"/>
      <c r="EG33" s="658"/>
      <c r="EH33" s="658"/>
      <c r="EI33" s="658"/>
      <c r="EJ33" s="658"/>
      <c r="EK33" s="658"/>
      <c r="EL33" s="658"/>
      <c r="EM33" s="658"/>
      <c r="EN33" s="658"/>
      <c r="EO33" s="658"/>
      <c r="EP33" s="658"/>
      <c r="EQ33" s="658"/>
      <c r="ER33" s="658"/>
      <c r="ES33" s="658"/>
      <c r="ET33" s="658"/>
      <c r="EU33" s="658"/>
      <c r="EV33" s="658"/>
      <c r="EW33" s="658"/>
      <c r="EX33" s="658"/>
      <c r="EY33" s="658"/>
      <c r="EZ33" s="658"/>
      <c r="FA33" s="658"/>
      <c r="FB33" s="658"/>
      <c r="FC33" s="658"/>
      <c r="FD33" s="658"/>
      <c r="FE33" s="658"/>
      <c r="FF33" s="658"/>
      <c r="FG33" s="658"/>
      <c r="FH33" s="658"/>
      <c r="FI33" s="658"/>
      <c r="FJ33" s="658"/>
      <c r="FK33" s="658"/>
      <c r="FL33" s="658"/>
      <c r="FM33" s="658"/>
      <c r="FN33" s="658"/>
      <c r="FO33" s="658"/>
      <c r="FP33" s="658"/>
      <c r="FQ33" s="658"/>
      <c r="FR33" s="658"/>
      <c r="FS33" s="658"/>
      <c r="FT33" s="658"/>
      <c r="FU33" s="658"/>
      <c r="FV33" s="658"/>
      <c r="FW33" s="658"/>
      <c r="FX33" s="658"/>
      <c r="FY33" s="658"/>
      <c r="FZ33" s="658"/>
      <c r="GA33" s="658"/>
      <c r="GB33" s="658"/>
      <c r="GC33" s="658"/>
      <c r="GD33" s="658"/>
      <c r="GE33" s="658"/>
      <c r="GF33" s="658"/>
      <c r="GG33" s="658"/>
      <c r="GH33" s="658"/>
      <c r="GI33" s="658"/>
      <c r="GJ33" s="658"/>
      <c r="GK33" s="658"/>
      <c r="GL33" s="658"/>
      <c r="GM33" s="658"/>
      <c r="GN33" s="658"/>
      <c r="GO33" s="658"/>
      <c r="GP33" s="658"/>
      <c r="GQ33" s="658"/>
      <c r="GR33" s="658"/>
      <c r="GS33" s="658"/>
      <c r="GT33" s="658"/>
      <c r="GU33" s="658"/>
      <c r="GV33" s="658"/>
      <c r="GW33" s="658"/>
      <c r="GX33" s="658"/>
      <c r="GY33" s="658"/>
      <c r="GZ33" s="658"/>
      <c r="HA33" s="658"/>
      <c r="HB33" s="658"/>
      <c r="HC33" s="658"/>
      <c r="HD33" s="658"/>
      <c r="HE33" s="658"/>
      <c r="HF33" s="658"/>
      <c r="HG33" s="658"/>
      <c r="HH33" s="658"/>
      <c r="HI33" s="658"/>
      <c r="HJ33" s="658"/>
      <c r="HK33" s="658"/>
      <c r="HL33" s="658"/>
      <c r="HM33" s="658"/>
      <c r="HN33" s="658"/>
      <c r="HO33" s="658"/>
      <c r="HP33" s="658"/>
      <c r="HQ33" s="658"/>
      <c r="HR33" s="658"/>
      <c r="HS33" s="658"/>
      <c r="HT33" s="658"/>
      <c r="HU33" s="658"/>
      <c r="HV33" s="658"/>
      <c r="HW33" s="658"/>
      <c r="HX33" s="658"/>
      <c r="HY33" s="658"/>
      <c r="HZ33" s="658"/>
      <c r="IA33" s="658"/>
      <c r="IB33" s="658"/>
      <c r="IC33" s="658"/>
      <c r="ID33" s="658"/>
      <c r="IE33" s="658"/>
      <c r="IF33" s="658"/>
      <c r="IG33" s="658"/>
      <c r="IH33" s="658"/>
      <c r="II33" s="658"/>
      <c r="IJ33" s="658"/>
      <c r="IK33" s="658"/>
      <c r="IL33" s="658"/>
      <c r="IM33" s="658"/>
      <c r="IN33" s="658"/>
      <c r="IO33" s="658"/>
      <c r="IP33" s="658"/>
      <c r="IQ33" s="658"/>
      <c r="IR33" s="658"/>
      <c r="IS33" s="658"/>
      <c r="IT33" s="658"/>
      <c r="IU33" s="658"/>
      <c r="IV33" s="658"/>
      <c r="IW33" s="658"/>
      <c r="IX33" s="658"/>
      <c r="IY33" s="658"/>
      <c r="IZ33" s="658"/>
      <c r="JA33" s="658"/>
      <c r="JB33" s="658"/>
      <c r="JC33" s="658"/>
      <c r="JD33" s="658"/>
      <c r="JE33" s="658"/>
      <c r="JF33" s="658"/>
      <c r="JG33" s="658"/>
      <c r="JH33" s="658"/>
      <c r="JI33" s="658"/>
      <c r="JJ33" s="658"/>
      <c r="JK33" s="658"/>
      <c r="JL33" s="658"/>
      <c r="JM33" s="658"/>
      <c r="JN33" s="658"/>
      <c r="JO33" s="658"/>
      <c r="JP33" s="658"/>
      <c r="JQ33" s="658"/>
      <c r="JR33" s="658"/>
      <c r="JS33" s="658"/>
      <c r="JT33" s="658"/>
      <c r="JU33" s="658"/>
      <c r="JV33" s="658"/>
      <c r="JW33" s="658"/>
      <c r="JX33" s="658"/>
      <c r="JY33" s="658"/>
      <c r="JZ33" s="658"/>
      <c r="KA33" s="658"/>
      <c r="KB33" s="658"/>
      <c r="KC33" s="658"/>
      <c r="KD33" s="658"/>
      <c r="KE33" s="658"/>
      <c r="KF33" s="658"/>
      <c r="KG33" s="658"/>
      <c r="KH33" s="658"/>
      <c r="KI33" s="658"/>
      <c r="KJ33" s="658"/>
      <c r="KK33" s="658"/>
      <c r="KL33" s="658"/>
    </row>
    <row r="34" spans="1:298" ht="20.100000000000001" customHeight="1" x14ac:dyDescent="0.3">
      <c r="A34" s="611"/>
      <c r="B34" s="1195" t="s">
        <v>1858</v>
      </c>
      <c r="C34" s="1196"/>
      <c r="D34" s="1196"/>
      <c r="E34" s="1196"/>
      <c r="F34" s="1197"/>
      <c r="G34" s="1172"/>
      <c r="H34" s="1173"/>
      <c r="I34" s="1173"/>
      <c r="J34" s="1173"/>
      <c r="K34" s="1173"/>
      <c r="L34" s="1173"/>
      <c r="M34" s="1173"/>
      <c r="N34" s="1173"/>
      <c r="O34" s="1173"/>
      <c r="P34" s="1173"/>
      <c r="Q34" s="1173"/>
      <c r="R34" s="1173"/>
      <c r="S34" s="1174"/>
      <c r="T34" s="1174"/>
      <c r="U34" s="1174"/>
      <c r="V34" s="1174"/>
      <c r="W34" s="1174"/>
      <c r="X34" s="1174"/>
      <c r="Y34" s="1189" t="e">
        <f>SUM(#REF!)</f>
        <v>#REF!</v>
      </c>
      <c r="Z34" s="1190"/>
      <c r="AA34" s="1190"/>
      <c r="AB34" s="1190"/>
      <c r="AC34" s="1190"/>
      <c r="AD34" s="1190"/>
      <c r="AE34" s="1190"/>
      <c r="AF34" s="1190"/>
      <c r="AG34" s="1190"/>
      <c r="AH34" s="1190"/>
      <c r="AI34" s="1190"/>
      <c r="AJ34" s="1191"/>
      <c r="AK34" s="864">
        <f>DG!I119</f>
        <v>4115751.1134367697</v>
      </c>
      <c r="AM34" s="860"/>
    </row>
    <row r="35" spans="1:298" ht="20.100000000000001" customHeight="1" thickBot="1" x14ac:dyDescent="0.35">
      <c r="A35" s="611"/>
      <c r="B35" s="1158" t="s">
        <v>572</v>
      </c>
      <c r="C35" s="1159"/>
      <c r="D35" s="1159"/>
      <c r="E35" s="1159"/>
      <c r="F35" s="1160"/>
      <c r="G35" s="1175"/>
      <c r="H35" s="1176"/>
      <c r="I35" s="1176"/>
      <c r="J35" s="1176"/>
      <c r="K35" s="1176"/>
      <c r="L35" s="1176"/>
      <c r="M35" s="1176"/>
      <c r="N35" s="1176"/>
      <c r="O35" s="1176"/>
      <c r="P35" s="1176"/>
      <c r="Q35" s="1176"/>
      <c r="R35" s="1176"/>
      <c r="S35" s="1177"/>
      <c r="T35" s="1177"/>
      <c r="U35" s="1177"/>
      <c r="V35" s="1177"/>
      <c r="W35" s="1177"/>
      <c r="X35" s="1177"/>
      <c r="Y35" s="1182">
        <f>SUM(Y19:AJ19)+SUM(Y24:AJ27)</f>
        <v>0</v>
      </c>
      <c r="Z35" s="1183"/>
      <c r="AA35" s="1183"/>
      <c r="AB35" s="1183"/>
      <c r="AC35" s="1183"/>
      <c r="AD35" s="1183"/>
      <c r="AE35" s="1183"/>
      <c r="AF35" s="1183"/>
      <c r="AG35" s="1183"/>
      <c r="AH35" s="1183"/>
      <c r="AI35" s="1183"/>
      <c r="AJ35" s="1184"/>
      <c r="AK35" s="865">
        <f>DG!I120</f>
        <v>3382018.0767462999</v>
      </c>
      <c r="AM35" s="860"/>
    </row>
    <row r="36" spans="1:298" s="660" customFormat="1" ht="33" hidden="1" customHeight="1" x14ac:dyDescent="0.3">
      <c r="A36" s="611"/>
      <c r="B36" s="1155" t="str">
        <f>DG!B121</f>
        <v>Se scad din 3.5 cheltuielile efectuate pentru elaborarea D.A.L.I. (SC CANDE SOLUTIONS SRL - 2018)</v>
      </c>
      <c r="C36" s="1156"/>
      <c r="D36" s="1156"/>
      <c r="E36" s="1156"/>
      <c r="F36" s="1157"/>
      <c r="G36" s="1178" t="e">
        <f>DG!#REF!</f>
        <v>#REF!</v>
      </c>
      <c r="H36" s="1179"/>
      <c r="I36" s="1179"/>
      <c r="J36" s="1179"/>
      <c r="K36" s="1179"/>
      <c r="L36" s="1179"/>
      <c r="M36" s="1179"/>
      <c r="N36" s="1179"/>
      <c r="O36" s="1179"/>
      <c r="P36" s="1179"/>
      <c r="Q36" s="1179"/>
      <c r="R36" s="1180"/>
      <c r="S36" s="1181">
        <v>0</v>
      </c>
      <c r="T36" s="1181"/>
      <c r="U36" s="1181"/>
      <c r="V36" s="1181"/>
      <c r="W36" s="1181"/>
      <c r="X36" s="1181"/>
      <c r="Y36" s="1178">
        <v>0</v>
      </c>
      <c r="Z36" s="1179"/>
      <c r="AA36" s="1179"/>
      <c r="AB36" s="1179"/>
      <c r="AC36" s="1179"/>
      <c r="AD36" s="1179"/>
      <c r="AE36" s="1179"/>
      <c r="AF36" s="1179"/>
      <c r="AG36" s="1179"/>
      <c r="AH36" s="1179"/>
      <c r="AI36" s="1179"/>
      <c r="AJ36" s="1180"/>
      <c r="AK36" s="663" t="e">
        <f t="shared" ref="AK36:AK39" si="0">SUM(G36:AJ36)</f>
        <v>#REF!</v>
      </c>
      <c r="AL36" s="664"/>
      <c r="AM36" s="658"/>
      <c r="AN36" s="658"/>
      <c r="AO36" s="658"/>
      <c r="AP36" s="658"/>
      <c r="AQ36" s="658"/>
      <c r="AR36" s="658"/>
      <c r="AS36" s="658"/>
      <c r="AT36" s="658"/>
      <c r="AU36" s="658"/>
      <c r="AV36" s="658"/>
      <c r="AW36" s="658"/>
      <c r="AX36" s="658"/>
      <c r="AY36" s="658"/>
      <c r="AZ36" s="658"/>
      <c r="BA36" s="658"/>
      <c r="BB36" s="658"/>
      <c r="BC36" s="658"/>
      <c r="BD36" s="658"/>
      <c r="BE36" s="658"/>
      <c r="BF36" s="658"/>
      <c r="BG36" s="658"/>
      <c r="BH36" s="658"/>
      <c r="BI36" s="658"/>
      <c r="BJ36" s="658"/>
      <c r="BK36" s="658"/>
      <c r="BL36" s="658"/>
      <c r="BM36" s="658"/>
      <c r="BN36" s="658"/>
      <c r="BO36" s="658"/>
      <c r="BP36" s="658"/>
      <c r="BQ36" s="658"/>
      <c r="BR36" s="658"/>
      <c r="BS36" s="658"/>
      <c r="BT36" s="658"/>
      <c r="BU36" s="658"/>
      <c r="BV36" s="658"/>
      <c r="BW36" s="658"/>
      <c r="BX36" s="658"/>
      <c r="BY36" s="658"/>
      <c r="BZ36" s="658"/>
      <c r="CA36" s="658"/>
      <c r="CB36" s="658"/>
      <c r="CC36" s="658"/>
      <c r="CD36" s="658"/>
      <c r="CE36" s="658"/>
      <c r="CF36" s="658"/>
      <c r="CG36" s="658"/>
      <c r="CH36" s="658"/>
      <c r="CI36" s="658"/>
      <c r="CJ36" s="658"/>
      <c r="CK36" s="658"/>
      <c r="CL36" s="658"/>
      <c r="CM36" s="658"/>
      <c r="CN36" s="658"/>
      <c r="CO36" s="658"/>
      <c r="CP36" s="658"/>
      <c r="CQ36" s="658"/>
      <c r="CR36" s="658"/>
      <c r="CS36" s="658"/>
      <c r="CT36" s="658"/>
      <c r="CU36" s="658"/>
      <c r="CV36" s="658"/>
      <c r="CW36" s="658"/>
      <c r="CX36" s="658"/>
      <c r="CY36" s="658"/>
      <c r="CZ36" s="658"/>
      <c r="DA36" s="658"/>
      <c r="DB36" s="658"/>
      <c r="DC36" s="658"/>
      <c r="DD36" s="658"/>
      <c r="DE36" s="658"/>
      <c r="DF36" s="658"/>
      <c r="DG36" s="658"/>
      <c r="DH36" s="658"/>
      <c r="DI36" s="658"/>
      <c r="DJ36" s="658"/>
      <c r="DK36" s="658"/>
      <c r="DL36" s="658"/>
      <c r="DM36" s="658"/>
      <c r="DN36" s="658"/>
      <c r="DO36" s="658"/>
      <c r="DP36" s="658"/>
      <c r="DQ36" s="658"/>
      <c r="DR36" s="658"/>
      <c r="DS36" s="658"/>
      <c r="DT36" s="658"/>
      <c r="DU36" s="658"/>
      <c r="DV36" s="658"/>
      <c r="DW36" s="658"/>
      <c r="DX36" s="658"/>
      <c r="DY36" s="658"/>
      <c r="DZ36" s="658"/>
      <c r="EA36" s="658"/>
      <c r="EB36" s="658"/>
      <c r="EC36" s="658"/>
      <c r="ED36" s="658"/>
      <c r="EE36" s="658"/>
      <c r="EF36" s="658"/>
      <c r="EG36" s="658"/>
      <c r="EH36" s="658"/>
      <c r="EI36" s="658"/>
      <c r="EJ36" s="658"/>
      <c r="EK36" s="658"/>
      <c r="EL36" s="658"/>
      <c r="EM36" s="658"/>
      <c r="EN36" s="658"/>
      <c r="EO36" s="658"/>
      <c r="EP36" s="658"/>
      <c r="EQ36" s="658"/>
      <c r="ER36" s="658"/>
      <c r="ES36" s="658"/>
      <c r="ET36" s="658"/>
      <c r="EU36" s="658"/>
      <c r="EV36" s="658"/>
      <c r="EW36" s="658"/>
      <c r="EX36" s="658"/>
      <c r="EY36" s="658"/>
      <c r="EZ36" s="658"/>
      <c r="FA36" s="658"/>
      <c r="FB36" s="658"/>
      <c r="FC36" s="658"/>
      <c r="FD36" s="658"/>
      <c r="FE36" s="658"/>
      <c r="FF36" s="658"/>
      <c r="FG36" s="658"/>
      <c r="FH36" s="658"/>
      <c r="FI36" s="658"/>
      <c r="FJ36" s="658"/>
      <c r="FK36" s="658"/>
      <c r="FL36" s="658"/>
      <c r="FM36" s="658"/>
      <c r="FN36" s="658"/>
      <c r="FO36" s="658"/>
      <c r="FP36" s="658"/>
      <c r="FQ36" s="658"/>
      <c r="FR36" s="658"/>
      <c r="FS36" s="658"/>
      <c r="FT36" s="658"/>
      <c r="FU36" s="658"/>
      <c r="FV36" s="658"/>
      <c r="FW36" s="658"/>
      <c r="FX36" s="658"/>
      <c r="FY36" s="658"/>
      <c r="FZ36" s="658"/>
      <c r="GA36" s="658"/>
      <c r="GB36" s="658"/>
      <c r="GC36" s="658"/>
      <c r="GD36" s="658"/>
      <c r="GE36" s="658"/>
      <c r="GF36" s="658"/>
      <c r="GG36" s="658"/>
      <c r="GH36" s="658"/>
      <c r="GI36" s="658"/>
      <c r="GJ36" s="658"/>
      <c r="GK36" s="658"/>
      <c r="GL36" s="658"/>
      <c r="GM36" s="658"/>
      <c r="GN36" s="658"/>
      <c r="GO36" s="658"/>
      <c r="GP36" s="658"/>
      <c r="GQ36" s="658"/>
      <c r="GR36" s="658"/>
      <c r="GS36" s="658"/>
      <c r="GT36" s="658"/>
      <c r="GU36" s="658"/>
      <c r="GV36" s="658"/>
      <c r="GW36" s="658"/>
      <c r="GX36" s="658"/>
      <c r="GY36" s="658"/>
      <c r="GZ36" s="658"/>
      <c r="HA36" s="658"/>
      <c r="HB36" s="658"/>
      <c r="HC36" s="658"/>
      <c r="HD36" s="658"/>
      <c r="HE36" s="658"/>
      <c r="HF36" s="658"/>
      <c r="HG36" s="658"/>
      <c r="HH36" s="658"/>
      <c r="HI36" s="658"/>
      <c r="HJ36" s="658"/>
      <c r="HK36" s="658"/>
      <c r="HL36" s="658"/>
      <c r="HM36" s="658"/>
      <c r="HN36" s="658"/>
      <c r="HO36" s="658"/>
      <c r="HP36" s="658"/>
      <c r="HQ36" s="658"/>
      <c r="HR36" s="658"/>
      <c r="HS36" s="658"/>
      <c r="HT36" s="658"/>
      <c r="HU36" s="658"/>
      <c r="HV36" s="658"/>
      <c r="HW36" s="658"/>
      <c r="HX36" s="658"/>
      <c r="HY36" s="658"/>
      <c r="HZ36" s="658"/>
      <c r="IA36" s="658"/>
      <c r="IB36" s="658"/>
      <c r="IC36" s="658"/>
      <c r="ID36" s="658"/>
      <c r="IE36" s="658"/>
      <c r="IF36" s="658"/>
      <c r="IG36" s="658"/>
      <c r="IH36" s="658"/>
      <c r="II36" s="658"/>
      <c r="IJ36" s="658"/>
      <c r="IK36" s="658"/>
      <c r="IL36" s="658"/>
      <c r="IM36" s="658"/>
      <c r="IN36" s="658"/>
      <c r="IO36" s="658"/>
      <c r="IP36" s="658"/>
      <c r="IQ36" s="658"/>
      <c r="IR36" s="658"/>
      <c r="IS36" s="658"/>
      <c r="IT36" s="658"/>
      <c r="IU36" s="658"/>
      <c r="IV36" s="658"/>
      <c r="IW36" s="658"/>
      <c r="IX36" s="658"/>
      <c r="IY36" s="658"/>
      <c r="IZ36" s="658"/>
      <c r="JA36" s="658"/>
      <c r="JB36" s="658"/>
      <c r="JC36" s="658"/>
      <c r="JD36" s="658"/>
      <c r="JE36" s="658"/>
      <c r="JF36" s="658"/>
      <c r="JG36" s="658"/>
      <c r="JH36" s="658"/>
      <c r="JI36" s="658"/>
      <c r="JJ36" s="658"/>
      <c r="JK36" s="658"/>
      <c r="JL36" s="658"/>
      <c r="JM36" s="658"/>
      <c r="JN36" s="658"/>
      <c r="JO36" s="658"/>
      <c r="JP36" s="658"/>
      <c r="JQ36" s="658"/>
      <c r="JR36" s="658"/>
      <c r="JS36" s="658"/>
      <c r="JT36" s="658"/>
      <c r="JU36" s="658"/>
      <c r="JV36" s="658"/>
      <c r="JW36" s="658"/>
      <c r="JX36" s="658"/>
      <c r="JY36" s="658"/>
      <c r="JZ36" s="658"/>
      <c r="KA36" s="658"/>
      <c r="KB36" s="658"/>
      <c r="KC36" s="658"/>
      <c r="KD36" s="658"/>
      <c r="KE36" s="658"/>
      <c r="KF36" s="658"/>
      <c r="KG36" s="658"/>
      <c r="KH36" s="658"/>
      <c r="KI36" s="658"/>
      <c r="KJ36" s="658"/>
      <c r="KK36" s="658"/>
      <c r="KL36" s="658"/>
    </row>
    <row r="37" spans="1:298" s="634" customFormat="1" ht="48" hidden="1" customHeight="1" thickBot="1" x14ac:dyDescent="0.35">
      <c r="B37" s="1162" t="s">
        <v>1766</v>
      </c>
      <c r="C37" s="1163"/>
      <c r="D37" s="1163"/>
      <c r="E37" s="1163"/>
      <c r="F37" s="1164"/>
      <c r="G37" s="1165" t="e">
        <f>DG!#REF!</f>
        <v>#REF!</v>
      </c>
      <c r="H37" s="1166"/>
      <c r="I37" s="1166"/>
      <c r="J37" s="1166"/>
      <c r="K37" s="1166"/>
      <c r="L37" s="1166"/>
      <c r="M37" s="1166"/>
      <c r="N37" s="1166"/>
      <c r="O37" s="1166"/>
      <c r="P37" s="1166"/>
      <c r="Q37" s="1166"/>
      <c r="R37" s="1167"/>
      <c r="S37" s="1166">
        <v>0</v>
      </c>
      <c r="T37" s="1166"/>
      <c r="U37" s="1166"/>
      <c r="V37" s="1166"/>
      <c r="W37" s="1166"/>
      <c r="X37" s="1166"/>
      <c r="Y37" s="1165">
        <v>0</v>
      </c>
      <c r="Z37" s="1166"/>
      <c r="AA37" s="1166"/>
      <c r="AB37" s="1166"/>
      <c r="AC37" s="1166"/>
      <c r="AD37" s="1166"/>
      <c r="AE37" s="1166"/>
      <c r="AF37" s="1166"/>
      <c r="AG37" s="1166"/>
      <c r="AH37" s="1166"/>
      <c r="AI37" s="1166"/>
      <c r="AJ37" s="1167"/>
      <c r="AK37" s="665" t="e">
        <f t="shared" si="0"/>
        <v>#REF!</v>
      </c>
      <c r="AL37" s="619"/>
      <c r="AM37" s="620"/>
      <c r="AN37" s="620"/>
      <c r="AO37" s="620"/>
      <c r="AP37" s="620"/>
      <c r="AQ37" s="620"/>
      <c r="AR37" s="620"/>
      <c r="AS37" s="620"/>
      <c r="AT37" s="620"/>
      <c r="AU37" s="620"/>
      <c r="AV37" s="620"/>
      <c r="AW37" s="620"/>
      <c r="AX37" s="620"/>
      <c r="AY37" s="620"/>
      <c r="AZ37" s="620"/>
      <c r="BA37" s="620"/>
      <c r="BB37" s="620"/>
      <c r="BC37" s="620"/>
      <c r="BD37" s="620"/>
      <c r="BE37" s="620"/>
      <c r="BF37" s="620"/>
      <c r="BG37" s="620"/>
      <c r="BH37" s="620"/>
      <c r="BI37" s="620"/>
      <c r="BJ37" s="620"/>
      <c r="BK37" s="620"/>
      <c r="BL37" s="620"/>
      <c r="BM37" s="620"/>
      <c r="BN37" s="620"/>
      <c r="BO37" s="620"/>
      <c r="BP37" s="620"/>
      <c r="BQ37" s="620"/>
      <c r="BR37" s="620"/>
      <c r="BS37" s="620"/>
      <c r="BT37" s="620"/>
      <c r="BU37" s="620"/>
      <c r="BV37" s="620"/>
      <c r="BW37" s="620"/>
      <c r="BX37" s="620"/>
      <c r="BY37" s="620"/>
      <c r="BZ37" s="620"/>
      <c r="CA37" s="620"/>
      <c r="CB37" s="620"/>
      <c r="CC37" s="620"/>
      <c r="CD37" s="620"/>
      <c r="CE37" s="620"/>
      <c r="CF37" s="620"/>
      <c r="CG37" s="620"/>
      <c r="CH37" s="620"/>
      <c r="CI37" s="620"/>
      <c r="CJ37" s="620"/>
      <c r="CK37" s="620"/>
      <c r="CL37" s="620"/>
      <c r="CM37" s="620"/>
      <c r="CN37" s="620"/>
      <c r="CO37" s="620"/>
      <c r="CP37" s="620"/>
      <c r="CQ37" s="620"/>
      <c r="CR37" s="620"/>
      <c r="CS37" s="620"/>
      <c r="CT37" s="620"/>
      <c r="CU37" s="620"/>
      <c r="CV37" s="620"/>
      <c r="CW37" s="620"/>
      <c r="CX37" s="620"/>
      <c r="CY37" s="620"/>
      <c r="CZ37" s="620"/>
      <c r="DA37" s="620"/>
      <c r="DB37" s="620"/>
      <c r="DC37" s="620"/>
      <c r="DD37" s="620"/>
      <c r="DE37" s="620"/>
      <c r="DF37" s="620"/>
      <c r="DG37" s="620"/>
      <c r="DH37" s="620"/>
      <c r="DI37" s="620"/>
      <c r="DJ37" s="620"/>
      <c r="DK37" s="620"/>
      <c r="DL37" s="620"/>
      <c r="DM37" s="620"/>
      <c r="DN37" s="620"/>
      <c r="DO37" s="620"/>
      <c r="DP37" s="620"/>
      <c r="DQ37" s="620"/>
      <c r="DR37" s="620"/>
      <c r="DS37" s="620"/>
      <c r="DT37" s="620"/>
      <c r="DU37" s="620"/>
      <c r="DV37" s="620"/>
      <c r="DW37" s="620"/>
      <c r="DX37" s="620"/>
      <c r="DY37" s="620"/>
      <c r="DZ37" s="620"/>
      <c r="EA37" s="620"/>
      <c r="EB37" s="620"/>
      <c r="EC37" s="620"/>
      <c r="ED37" s="620"/>
      <c r="EE37" s="620"/>
      <c r="EF37" s="620"/>
      <c r="EG37" s="620"/>
      <c r="EH37" s="620"/>
      <c r="EI37" s="620"/>
      <c r="EJ37" s="620"/>
      <c r="EK37" s="620"/>
      <c r="EL37" s="620"/>
      <c r="EM37" s="620"/>
      <c r="EN37" s="620"/>
      <c r="EO37" s="620"/>
      <c r="EP37" s="620"/>
      <c r="EQ37" s="620"/>
      <c r="ER37" s="620"/>
      <c r="ES37" s="620"/>
      <c r="ET37" s="620"/>
      <c r="EU37" s="620"/>
      <c r="EV37" s="620"/>
      <c r="EW37" s="620"/>
      <c r="EX37" s="620"/>
      <c r="EY37" s="620"/>
      <c r="EZ37" s="620"/>
      <c r="FA37" s="620"/>
      <c r="FB37" s="620"/>
      <c r="FC37" s="620"/>
      <c r="FD37" s="620"/>
      <c r="FE37" s="620"/>
      <c r="FF37" s="620"/>
      <c r="FG37" s="620"/>
      <c r="FH37" s="620"/>
      <c r="FI37" s="620"/>
      <c r="FJ37" s="620"/>
      <c r="FK37" s="620"/>
      <c r="FL37" s="620"/>
      <c r="FM37" s="620"/>
      <c r="FN37" s="620"/>
      <c r="FO37" s="620"/>
      <c r="FP37" s="620"/>
      <c r="FQ37" s="620"/>
      <c r="FR37" s="620"/>
      <c r="FS37" s="620"/>
      <c r="FT37" s="620"/>
      <c r="FU37" s="620"/>
      <c r="FV37" s="620"/>
      <c r="FW37" s="620"/>
      <c r="FX37" s="620"/>
      <c r="FY37" s="620"/>
      <c r="FZ37" s="620"/>
      <c r="GA37" s="620"/>
      <c r="GB37" s="620"/>
      <c r="GC37" s="620"/>
      <c r="GD37" s="620"/>
      <c r="GE37" s="620"/>
      <c r="GF37" s="620"/>
      <c r="GG37" s="620"/>
      <c r="GH37" s="620"/>
      <c r="GI37" s="620"/>
      <c r="GJ37" s="620"/>
      <c r="GK37" s="620"/>
      <c r="GL37" s="620"/>
      <c r="GM37" s="620"/>
      <c r="GN37" s="620"/>
      <c r="GO37" s="620"/>
      <c r="GP37" s="620"/>
      <c r="GQ37" s="620"/>
      <c r="GR37" s="620"/>
      <c r="GS37" s="620"/>
      <c r="GT37" s="620"/>
      <c r="GU37" s="620"/>
      <c r="GV37" s="620"/>
      <c r="GW37" s="620"/>
      <c r="GX37" s="620"/>
      <c r="GY37" s="620"/>
      <c r="GZ37" s="620"/>
      <c r="HA37" s="620"/>
      <c r="HB37" s="620"/>
      <c r="HC37" s="620"/>
      <c r="HD37" s="620"/>
      <c r="HE37" s="620"/>
      <c r="HF37" s="620"/>
      <c r="HG37" s="620"/>
      <c r="HH37" s="620"/>
      <c r="HI37" s="620"/>
      <c r="HJ37" s="620"/>
      <c r="HK37" s="620"/>
      <c r="HL37" s="620"/>
      <c r="HM37" s="620"/>
      <c r="HN37" s="620"/>
      <c r="HO37" s="620"/>
      <c r="HP37" s="620"/>
      <c r="HQ37" s="620"/>
      <c r="HR37" s="620"/>
      <c r="HS37" s="620"/>
      <c r="HT37" s="620"/>
      <c r="HU37" s="620"/>
      <c r="HV37" s="620"/>
      <c r="HW37" s="620"/>
      <c r="HX37" s="620"/>
      <c r="HY37" s="620"/>
      <c r="HZ37" s="620"/>
      <c r="IA37" s="620"/>
      <c r="IB37" s="620"/>
      <c r="IC37" s="620"/>
      <c r="ID37" s="620"/>
      <c r="IE37" s="620"/>
      <c r="IF37" s="620"/>
      <c r="IG37" s="620"/>
      <c r="IH37" s="620"/>
      <c r="II37" s="620"/>
      <c r="IJ37" s="620"/>
      <c r="IK37" s="620"/>
      <c r="IL37" s="620"/>
      <c r="IM37" s="620"/>
      <c r="IN37" s="620"/>
      <c r="IO37" s="620"/>
      <c r="IP37" s="620"/>
      <c r="IQ37" s="620"/>
      <c r="IR37" s="620"/>
      <c r="IS37" s="620"/>
      <c r="IT37" s="620"/>
      <c r="IU37" s="620"/>
      <c r="IV37" s="620"/>
      <c r="IW37" s="620"/>
      <c r="IX37" s="620"/>
      <c r="IY37" s="620"/>
      <c r="IZ37" s="620"/>
      <c r="JA37" s="620"/>
      <c r="JB37" s="620"/>
      <c r="JC37" s="620"/>
      <c r="JD37" s="620"/>
      <c r="JE37" s="620"/>
      <c r="JF37" s="620"/>
      <c r="JG37" s="620"/>
      <c r="JH37" s="620"/>
      <c r="JI37" s="620"/>
      <c r="JJ37" s="620"/>
      <c r="JK37" s="620"/>
      <c r="JL37" s="620"/>
      <c r="JM37" s="620"/>
      <c r="JN37" s="620"/>
      <c r="JO37" s="620"/>
      <c r="JP37" s="620"/>
      <c r="JQ37" s="620"/>
      <c r="JR37" s="620"/>
      <c r="JS37" s="620"/>
      <c r="JT37" s="620"/>
      <c r="JU37" s="620"/>
      <c r="JV37" s="620"/>
      <c r="JW37" s="620"/>
      <c r="JX37" s="620"/>
      <c r="JY37" s="620"/>
      <c r="JZ37" s="620"/>
      <c r="KA37" s="620"/>
      <c r="KB37" s="620"/>
      <c r="KC37" s="620"/>
      <c r="KD37" s="620"/>
      <c r="KE37" s="620"/>
      <c r="KF37" s="620"/>
      <c r="KG37" s="620"/>
      <c r="KH37" s="620"/>
      <c r="KI37" s="620"/>
      <c r="KJ37" s="620"/>
      <c r="KK37" s="620"/>
      <c r="KL37" s="620"/>
    </row>
    <row r="38" spans="1:298" ht="20.100000000000001" hidden="1" customHeight="1" x14ac:dyDescent="0.3">
      <c r="B38" s="1127" t="s">
        <v>79</v>
      </c>
      <c r="C38" s="1128"/>
      <c r="D38" s="1128"/>
      <c r="E38" s="1128"/>
      <c r="F38" s="1129"/>
      <c r="G38" s="1168" t="e">
        <f>G34-G36-G37</f>
        <v>#REF!</v>
      </c>
      <c r="H38" s="1169"/>
      <c r="I38" s="1169"/>
      <c r="J38" s="1169"/>
      <c r="K38" s="1169"/>
      <c r="L38" s="1169"/>
      <c r="M38" s="1169"/>
      <c r="N38" s="1169"/>
      <c r="O38" s="1169"/>
      <c r="P38" s="1169"/>
      <c r="Q38" s="1169"/>
      <c r="R38" s="1170"/>
      <c r="S38" s="1171">
        <f>S34-S36-S37</f>
        <v>0</v>
      </c>
      <c r="T38" s="1169"/>
      <c r="U38" s="1169"/>
      <c r="V38" s="1169"/>
      <c r="W38" s="1169"/>
      <c r="X38" s="1169"/>
      <c r="Y38" s="1168" t="e">
        <f>Y34-Y36-Y37</f>
        <v>#REF!</v>
      </c>
      <c r="Z38" s="1169"/>
      <c r="AA38" s="1169"/>
      <c r="AB38" s="1169"/>
      <c r="AC38" s="1169"/>
      <c r="AD38" s="1169"/>
      <c r="AE38" s="1169"/>
      <c r="AF38" s="1169"/>
      <c r="AG38" s="1169"/>
      <c r="AH38" s="1169"/>
      <c r="AI38" s="1169"/>
      <c r="AJ38" s="1170"/>
      <c r="AK38" s="661" t="e">
        <f t="shared" si="0"/>
        <v>#REF!</v>
      </c>
    </row>
    <row r="39" spans="1:298" ht="20.100000000000001" hidden="1" customHeight="1" thickBot="1" x14ac:dyDescent="0.35">
      <c r="B39" s="1124" t="s">
        <v>80</v>
      </c>
      <c r="C39" s="1125"/>
      <c r="D39" s="1125"/>
      <c r="E39" s="1125"/>
      <c r="F39" s="1126"/>
      <c r="G39" s="1121">
        <f>G35</f>
        <v>0</v>
      </c>
      <c r="H39" s="1122"/>
      <c r="I39" s="1122"/>
      <c r="J39" s="1122"/>
      <c r="K39" s="1122"/>
      <c r="L39" s="1122"/>
      <c r="M39" s="1122"/>
      <c r="N39" s="1122"/>
      <c r="O39" s="1122"/>
      <c r="P39" s="1122"/>
      <c r="Q39" s="1122"/>
      <c r="R39" s="1123"/>
      <c r="S39" s="1161">
        <f>S35</f>
        <v>0</v>
      </c>
      <c r="T39" s="1122"/>
      <c r="U39" s="1122"/>
      <c r="V39" s="1122"/>
      <c r="W39" s="1122"/>
      <c r="X39" s="1122"/>
      <c r="Y39" s="1121">
        <f>Y35</f>
        <v>0</v>
      </c>
      <c r="Z39" s="1122"/>
      <c r="AA39" s="1122"/>
      <c r="AB39" s="1122"/>
      <c r="AC39" s="1122"/>
      <c r="AD39" s="1122"/>
      <c r="AE39" s="1122"/>
      <c r="AF39" s="1122"/>
      <c r="AG39" s="1122"/>
      <c r="AH39" s="1122"/>
      <c r="AI39" s="1122"/>
      <c r="AJ39" s="1123"/>
      <c r="AK39" s="662">
        <f t="shared" si="0"/>
        <v>0</v>
      </c>
    </row>
    <row r="40" spans="1:298" ht="15.6" x14ac:dyDescent="0.3">
      <c r="B40" s="666"/>
      <c r="C40" s="620"/>
      <c r="D40" s="620"/>
      <c r="E40" s="620"/>
      <c r="F40" s="620"/>
      <c r="G40" s="667"/>
      <c r="H40" s="667"/>
      <c r="I40" s="667"/>
      <c r="J40" s="667"/>
      <c r="K40" s="667"/>
      <c r="L40" s="667"/>
      <c r="M40" s="667"/>
      <c r="N40" s="667"/>
      <c r="O40" s="667"/>
      <c r="P40" s="667"/>
      <c r="Q40" s="667"/>
      <c r="R40" s="667"/>
      <c r="S40" s="667"/>
      <c r="T40" s="667"/>
      <c r="U40" s="667"/>
      <c r="V40" s="667"/>
      <c r="W40" s="667"/>
      <c r="X40" s="667"/>
      <c r="Y40" s="667"/>
      <c r="Z40" s="667"/>
      <c r="AA40" s="667"/>
      <c r="AB40" s="667"/>
      <c r="AC40" s="667"/>
      <c r="AD40" s="667"/>
      <c r="AE40" s="667"/>
      <c r="AF40" s="667"/>
      <c r="AG40" s="667"/>
      <c r="AH40" s="667"/>
      <c r="AI40" s="667"/>
      <c r="AJ40" s="667"/>
      <c r="AK40" s="668"/>
    </row>
    <row r="41" spans="1:298" ht="18.75" x14ac:dyDescent="0.3">
      <c r="B41" s="666"/>
      <c r="C41" s="620"/>
      <c r="D41" s="620"/>
      <c r="E41" s="620"/>
      <c r="F41" s="620"/>
      <c r="G41" s="667"/>
      <c r="H41" s="667"/>
      <c r="I41" s="667"/>
      <c r="J41" s="667"/>
      <c r="K41" s="667"/>
      <c r="L41" s="667"/>
      <c r="M41" s="667"/>
      <c r="N41" s="667"/>
      <c r="O41" s="667"/>
      <c r="P41" s="667"/>
      <c r="Q41" s="667"/>
      <c r="R41" s="667"/>
      <c r="S41" s="667"/>
      <c r="T41" s="667"/>
      <c r="U41" s="667"/>
      <c r="V41" s="667"/>
      <c r="W41" s="667"/>
      <c r="X41" s="667"/>
      <c r="Y41" s="667"/>
      <c r="Z41" s="667"/>
      <c r="AA41" s="667"/>
      <c r="AB41" s="667"/>
      <c r="AC41" s="667"/>
      <c r="AD41" s="667"/>
      <c r="AE41" s="667"/>
      <c r="AF41" s="667"/>
      <c r="AG41" s="667"/>
      <c r="AH41" s="667"/>
      <c r="AI41" s="667"/>
      <c r="AJ41" s="667"/>
      <c r="AK41" s="1000" t="s">
        <v>1825</v>
      </c>
    </row>
    <row r="42" spans="1:298" ht="15.6" x14ac:dyDescent="0.3">
      <c r="B42" s="666"/>
      <c r="C42" s="620"/>
      <c r="D42" s="620"/>
      <c r="E42" s="620"/>
      <c r="F42" s="620"/>
      <c r="G42" s="667"/>
      <c r="H42" s="667"/>
      <c r="I42" s="667"/>
      <c r="J42" s="667"/>
      <c r="K42" s="667"/>
      <c r="L42" s="667"/>
      <c r="M42" s="667"/>
      <c r="N42" s="667"/>
      <c r="O42" s="667"/>
      <c r="P42" s="667"/>
      <c r="Q42" s="667"/>
      <c r="R42" s="667"/>
      <c r="S42" s="667"/>
      <c r="T42" s="667"/>
      <c r="U42" s="667"/>
      <c r="V42" s="667"/>
      <c r="W42" s="667"/>
      <c r="X42" s="667"/>
      <c r="Y42" s="667"/>
      <c r="Z42" s="667"/>
      <c r="AA42" s="667"/>
      <c r="AB42" s="667"/>
      <c r="AC42" s="667"/>
      <c r="AD42" s="667"/>
      <c r="AE42" s="667"/>
      <c r="AF42" s="667"/>
      <c r="AG42" s="667"/>
      <c r="AH42" s="667"/>
      <c r="AI42" s="667"/>
      <c r="AJ42" s="667"/>
      <c r="AK42" s="669"/>
      <c r="AN42" s="860"/>
    </row>
    <row r="43" spans="1:298" ht="15.6" x14ac:dyDescent="0.3">
      <c r="B43" s="666"/>
      <c r="C43" s="620"/>
      <c r="D43" s="620"/>
      <c r="E43" s="620"/>
      <c r="F43" s="620"/>
      <c r="G43" s="667"/>
      <c r="H43" s="667"/>
      <c r="I43" s="667"/>
      <c r="J43" s="667"/>
      <c r="K43" s="667"/>
      <c r="L43" s="667"/>
      <c r="M43" s="667"/>
      <c r="N43" s="667"/>
      <c r="O43" s="667"/>
      <c r="P43" s="667"/>
      <c r="Q43" s="667"/>
      <c r="R43" s="667"/>
      <c r="S43" s="667"/>
      <c r="T43" s="667"/>
      <c r="U43" s="667"/>
      <c r="V43" s="667"/>
      <c r="W43" s="667"/>
      <c r="X43" s="667"/>
      <c r="Y43" s="667"/>
      <c r="Z43" s="667"/>
      <c r="AA43" s="667"/>
      <c r="AB43" s="667"/>
      <c r="AC43" s="667"/>
      <c r="AD43" s="667"/>
      <c r="AE43" s="667"/>
      <c r="AF43" s="667"/>
      <c r="AG43" s="667"/>
      <c r="AH43" s="667"/>
      <c r="AI43" s="667"/>
      <c r="AJ43" s="667"/>
      <c r="AK43" s="669"/>
      <c r="AN43" s="860"/>
    </row>
    <row r="44" spans="1:298" ht="18" x14ac:dyDescent="0.35">
      <c r="B44" s="666"/>
      <c r="C44" s="620"/>
      <c r="D44" s="620"/>
      <c r="E44" s="620"/>
      <c r="F44" s="620"/>
      <c r="G44" s="667"/>
      <c r="H44" s="667"/>
      <c r="I44" s="667"/>
      <c r="J44" s="667"/>
      <c r="K44" s="667"/>
      <c r="L44" s="667"/>
      <c r="M44" s="667"/>
      <c r="N44" s="667"/>
      <c r="O44" s="667"/>
      <c r="P44" s="667"/>
      <c r="Q44" s="667"/>
      <c r="R44" s="667"/>
      <c r="S44" s="667"/>
      <c r="T44" s="667"/>
      <c r="U44" s="667"/>
      <c r="V44" s="667"/>
      <c r="W44" s="667"/>
      <c r="X44" s="667"/>
      <c r="Y44" s="201"/>
      <c r="Z44" s="201"/>
      <c r="AA44" s="201"/>
      <c r="AB44" s="201"/>
      <c r="AC44" s="201"/>
      <c r="AD44" s="201"/>
      <c r="AE44" s="201"/>
      <c r="AF44" s="201"/>
      <c r="AG44" s="201"/>
      <c r="AH44" s="201"/>
      <c r="AI44" s="201"/>
      <c r="AJ44" s="201"/>
      <c r="AK44" s="999" t="str">
        <f>'DG-cap3'!I37</f>
        <v>ing. Parlapan Răzvan Gabriel</v>
      </c>
    </row>
    <row r="45" spans="1:298" ht="15.6" x14ac:dyDescent="0.3">
      <c r="B45" s="666"/>
      <c r="C45" s="620"/>
      <c r="D45" s="620"/>
      <c r="E45" s="620"/>
      <c r="F45" s="620"/>
      <c r="G45" s="667"/>
      <c r="H45" s="667"/>
      <c r="I45" s="667"/>
      <c r="J45" s="667"/>
      <c r="K45" s="667"/>
      <c r="L45" s="667"/>
      <c r="M45" s="667"/>
      <c r="N45" s="667"/>
      <c r="O45" s="667"/>
      <c r="P45" s="667"/>
      <c r="Q45" s="667"/>
      <c r="R45" s="667"/>
      <c r="S45" s="667"/>
      <c r="T45" s="667"/>
      <c r="U45" s="667"/>
      <c r="V45" s="667"/>
      <c r="W45" s="667"/>
      <c r="X45" s="667"/>
      <c r="Y45" s="667"/>
      <c r="Z45" s="667"/>
      <c r="AA45" s="667"/>
      <c r="AB45" s="667"/>
      <c r="AC45" s="667"/>
      <c r="AD45" s="667"/>
      <c r="AE45" s="667"/>
      <c r="AF45" s="667"/>
      <c r="AG45" s="667"/>
      <c r="AH45" s="667"/>
      <c r="AI45" s="667"/>
      <c r="AJ45" s="667"/>
      <c r="AK45" s="61"/>
    </row>
    <row r="46" spans="1:298" ht="15.6" x14ac:dyDescent="0.3">
      <c r="B46" s="666"/>
      <c r="C46" s="620"/>
      <c r="D46" s="620"/>
      <c r="E46" s="620"/>
      <c r="F46" s="620"/>
      <c r="G46" s="667"/>
      <c r="H46" s="667"/>
      <c r="I46" s="667"/>
      <c r="J46" s="667"/>
      <c r="K46" s="667"/>
      <c r="L46" s="667"/>
      <c r="M46" s="667"/>
      <c r="N46" s="667"/>
      <c r="O46" s="667"/>
      <c r="P46" s="667"/>
      <c r="Q46" s="667"/>
      <c r="R46" s="667"/>
      <c r="S46" s="667"/>
      <c r="T46" s="667"/>
      <c r="U46" s="667"/>
      <c r="V46" s="667"/>
      <c r="W46" s="667"/>
      <c r="X46" s="667"/>
      <c r="Y46" s="667"/>
      <c r="Z46" s="667"/>
      <c r="AA46" s="667"/>
      <c r="AB46" s="667"/>
      <c r="AC46" s="667"/>
      <c r="AD46" s="667"/>
      <c r="AE46" s="667"/>
      <c r="AF46" s="667"/>
      <c r="AG46" s="667"/>
      <c r="AH46" s="667"/>
      <c r="AI46" s="667"/>
      <c r="AJ46" s="667"/>
      <c r="AK46" s="61"/>
    </row>
    <row r="47" spans="1:298" ht="15.6" x14ac:dyDescent="0.3">
      <c r="B47" s="666"/>
      <c r="C47" s="620"/>
      <c r="D47" s="620"/>
      <c r="E47" s="620"/>
      <c r="F47" s="620"/>
      <c r="G47" s="667"/>
      <c r="H47" s="667"/>
      <c r="I47" s="667"/>
      <c r="J47" s="667"/>
      <c r="K47" s="667"/>
      <c r="L47" s="667"/>
      <c r="M47" s="667"/>
      <c r="N47" s="667"/>
      <c r="O47" s="667"/>
      <c r="P47" s="667"/>
      <c r="Q47" s="667"/>
      <c r="R47" s="667"/>
      <c r="S47" s="667"/>
      <c r="T47" s="667"/>
      <c r="U47" s="667"/>
      <c r="V47" s="667"/>
      <c r="W47" s="667"/>
      <c r="X47" s="667"/>
      <c r="Y47" s="667"/>
      <c r="Z47" s="667"/>
      <c r="AA47" s="667"/>
      <c r="AB47" s="667"/>
      <c r="AC47" s="667"/>
      <c r="AD47" s="667"/>
      <c r="AE47" s="667"/>
      <c r="AF47" s="667"/>
      <c r="AG47" s="667"/>
      <c r="AH47" s="667"/>
      <c r="AI47" s="667"/>
      <c r="AJ47" s="667"/>
      <c r="AK47" s="669"/>
    </row>
    <row r="48" spans="1:298" ht="15.6" x14ac:dyDescent="0.3">
      <c r="B48" s="667"/>
      <c r="C48" s="667"/>
      <c r="D48" s="667"/>
      <c r="E48" s="667"/>
      <c r="F48" s="667"/>
      <c r="G48" s="667"/>
      <c r="H48" s="667"/>
      <c r="I48" s="667"/>
      <c r="J48" s="667"/>
      <c r="K48" s="667"/>
      <c r="L48" s="667"/>
      <c r="M48" s="667"/>
      <c r="N48" s="667"/>
      <c r="O48" s="667"/>
      <c r="P48" s="667"/>
      <c r="Q48" s="667"/>
      <c r="R48" s="667"/>
      <c r="S48" s="667"/>
      <c r="T48" s="667"/>
      <c r="U48" s="667"/>
      <c r="V48" s="667"/>
      <c r="W48" s="667"/>
      <c r="X48" s="667"/>
      <c r="Y48" s="667"/>
      <c r="Z48" s="667"/>
      <c r="AA48" s="667"/>
      <c r="AB48" s="667"/>
      <c r="AC48" s="667"/>
      <c r="AD48" s="667"/>
      <c r="AE48" s="667"/>
      <c r="AF48" s="667"/>
      <c r="AG48" s="667"/>
      <c r="AH48" s="667"/>
      <c r="AI48" s="667"/>
      <c r="AJ48" s="667"/>
      <c r="AK48" s="621"/>
    </row>
    <row r="49" spans="1:38" ht="15.6" x14ac:dyDescent="0.3">
      <c r="B49" s="667"/>
      <c r="C49" s="667"/>
      <c r="D49" s="667"/>
      <c r="E49" s="667"/>
      <c r="F49" s="667"/>
      <c r="G49" s="667"/>
      <c r="H49" s="667"/>
      <c r="I49" s="667"/>
      <c r="J49" s="667"/>
      <c r="K49" s="667"/>
      <c r="L49" s="667"/>
      <c r="M49" s="667"/>
      <c r="N49" s="667"/>
      <c r="O49" s="667"/>
      <c r="P49" s="667"/>
      <c r="Q49" s="667"/>
      <c r="R49" s="667"/>
      <c r="S49" s="667"/>
      <c r="T49" s="667"/>
      <c r="U49" s="667"/>
      <c r="V49" s="667"/>
      <c r="W49" s="667"/>
      <c r="X49" s="667"/>
      <c r="Y49" s="667"/>
      <c r="Z49" s="667"/>
      <c r="AA49" s="667"/>
      <c r="AB49" s="667"/>
      <c r="AC49" s="667"/>
      <c r="AD49" s="667"/>
      <c r="AE49" s="667"/>
      <c r="AF49" s="667"/>
      <c r="AG49" s="667"/>
      <c r="AH49" s="667"/>
      <c r="AI49" s="667"/>
      <c r="AJ49" s="667"/>
      <c r="AK49" s="668"/>
    </row>
    <row r="50" spans="1:38" ht="15.6" x14ac:dyDescent="0.3">
      <c r="B50" s="667"/>
      <c r="C50" s="667"/>
      <c r="D50" s="667"/>
      <c r="E50" s="667"/>
      <c r="F50" s="667"/>
      <c r="G50" s="667"/>
      <c r="H50" s="667"/>
      <c r="I50" s="667"/>
      <c r="J50" s="667"/>
      <c r="K50" s="667"/>
      <c r="L50" s="667"/>
      <c r="M50" s="667"/>
      <c r="N50" s="667"/>
      <c r="O50" s="667"/>
      <c r="P50" s="667"/>
      <c r="Q50" s="667"/>
      <c r="R50" s="667"/>
      <c r="S50" s="667"/>
      <c r="T50" s="667"/>
      <c r="U50" s="667"/>
      <c r="V50" s="667"/>
      <c r="W50" s="667"/>
      <c r="X50" s="667"/>
      <c r="Y50" s="667"/>
      <c r="Z50" s="667"/>
      <c r="AA50" s="667"/>
      <c r="AB50" s="667"/>
      <c r="AC50" s="667"/>
      <c r="AD50" s="667"/>
      <c r="AE50" s="667"/>
      <c r="AF50" s="667"/>
      <c r="AG50" s="667"/>
      <c r="AH50" s="667"/>
      <c r="AI50" s="667"/>
      <c r="AJ50" s="667"/>
      <c r="AK50" s="668"/>
    </row>
    <row r="51" spans="1:38" ht="15.6" x14ac:dyDescent="0.3">
      <c r="B51" s="667"/>
      <c r="C51" s="667"/>
      <c r="D51" s="667"/>
      <c r="E51" s="667"/>
      <c r="F51" s="667"/>
      <c r="G51" s="667"/>
      <c r="H51" s="667"/>
      <c r="I51" s="667"/>
      <c r="J51" s="667"/>
      <c r="K51" s="667"/>
      <c r="L51" s="667"/>
      <c r="M51" s="667"/>
      <c r="N51" s="667"/>
      <c r="O51" s="667"/>
      <c r="P51" s="667"/>
      <c r="Q51" s="667"/>
      <c r="R51" s="667"/>
      <c r="S51" s="667"/>
      <c r="T51" s="667"/>
      <c r="U51" s="667"/>
      <c r="V51" s="667"/>
      <c r="W51" s="667"/>
      <c r="X51" s="667"/>
      <c r="Y51" s="667"/>
      <c r="Z51" s="667"/>
      <c r="AA51" s="667"/>
      <c r="AB51" s="667"/>
      <c r="AC51" s="667"/>
      <c r="AD51" s="667"/>
      <c r="AE51" s="667"/>
      <c r="AF51" s="667"/>
      <c r="AG51" s="667"/>
      <c r="AH51" s="667"/>
      <c r="AI51" s="667"/>
      <c r="AJ51" s="667"/>
      <c r="AK51" s="668"/>
    </row>
    <row r="52" spans="1:38" x14ac:dyDescent="0.25">
      <c r="B52" s="667"/>
      <c r="C52" s="667"/>
      <c r="D52" s="667"/>
      <c r="E52" s="667"/>
      <c r="F52" s="667"/>
      <c r="G52" s="667"/>
      <c r="H52" s="667"/>
      <c r="I52" s="667"/>
      <c r="J52" s="667"/>
      <c r="K52" s="667"/>
      <c r="L52" s="667"/>
      <c r="M52" s="667"/>
      <c r="N52" s="667"/>
      <c r="O52" s="667"/>
      <c r="P52" s="667"/>
      <c r="Q52" s="667"/>
      <c r="R52" s="667"/>
      <c r="S52" s="667"/>
      <c r="T52" s="667"/>
      <c r="U52" s="667"/>
      <c r="V52" s="667"/>
      <c r="W52" s="667"/>
      <c r="X52" s="667"/>
      <c r="Y52" s="667"/>
      <c r="Z52" s="667"/>
      <c r="AA52" s="667"/>
      <c r="AB52" s="667"/>
      <c r="AC52" s="667"/>
      <c r="AD52" s="667"/>
      <c r="AE52" s="667"/>
      <c r="AF52" s="667"/>
      <c r="AG52" s="667"/>
      <c r="AH52" s="667"/>
      <c r="AI52" s="667"/>
      <c r="AJ52" s="667"/>
      <c r="AK52" s="668"/>
    </row>
    <row r="53" spans="1:38" x14ac:dyDescent="0.25">
      <c r="B53" s="667"/>
      <c r="C53" s="667"/>
      <c r="D53" s="667"/>
      <c r="E53" s="667"/>
      <c r="F53" s="667"/>
      <c r="G53" s="667"/>
      <c r="H53" s="667"/>
      <c r="I53" s="667"/>
      <c r="J53" s="667"/>
      <c r="K53" s="667"/>
      <c r="L53" s="667"/>
      <c r="M53" s="667"/>
      <c r="N53" s="667"/>
      <c r="O53" s="667"/>
      <c r="P53" s="667"/>
      <c r="Q53" s="667"/>
      <c r="R53" s="667"/>
      <c r="S53" s="667"/>
      <c r="T53" s="667"/>
      <c r="U53" s="667"/>
      <c r="V53" s="667"/>
      <c r="W53" s="667"/>
      <c r="X53" s="667"/>
      <c r="Y53" s="667"/>
      <c r="Z53" s="667"/>
      <c r="AA53" s="667"/>
      <c r="AB53" s="667"/>
      <c r="AC53" s="667"/>
      <c r="AD53" s="667"/>
      <c r="AE53" s="667"/>
      <c r="AF53" s="667"/>
      <c r="AG53" s="667"/>
      <c r="AH53" s="667"/>
      <c r="AI53" s="667"/>
      <c r="AJ53" s="667"/>
      <c r="AK53" s="668"/>
    </row>
    <row r="54" spans="1:38" x14ac:dyDescent="0.25">
      <c r="B54" s="667"/>
      <c r="C54" s="667"/>
      <c r="D54" s="667"/>
      <c r="E54" s="667"/>
      <c r="F54" s="667"/>
      <c r="G54" s="667"/>
      <c r="H54" s="667"/>
      <c r="I54" s="667"/>
      <c r="J54" s="667"/>
      <c r="K54" s="667"/>
      <c r="L54" s="667"/>
      <c r="M54" s="667"/>
      <c r="N54" s="667"/>
      <c r="O54" s="667"/>
      <c r="P54" s="667"/>
      <c r="Q54" s="667"/>
      <c r="R54" s="667"/>
      <c r="S54" s="667"/>
      <c r="T54" s="667"/>
      <c r="U54" s="667"/>
      <c r="V54" s="667"/>
      <c r="W54" s="667"/>
      <c r="X54" s="667"/>
      <c r="Y54" s="667"/>
      <c r="Z54" s="667"/>
      <c r="AA54" s="667"/>
      <c r="AB54" s="667"/>
      <c r="AC54" s="667"/>
      <c r="AD54" s="667"/>
      <c r="AE54" s="667"/>
      <c r="AF54" s="667"/>
      <c r="AG54" s="667"/>
      <c r="AH54" s="667"/>
      <c r="AI54" s="667"/>
      <c r="AJ54" s="667"/>
      <c r="AK54" s="668"/>
    </row>
    <row r="55" spans="1:38" x14ac:dyDescent="0.25">
      <c r="B55" s="667"/>
      <c r="C55" s="667"/>
      <c r="D55" s="667"/>
      <c r="E55" s="667"/>
      <c r="F55" s="667"/>
      <c r="G55" s="667"/>
      <c r="H55" s="667"/>
      <c r="I55" s="667"/>
      <c r="J55" s="667"/>
      <c r="K55" s="667"/>
      <c r="L55" s="667"/>
      <c r="M55" s="667"/>
      <c r="N55" s="667"/>
      <c r="O55" s="667"/>
      <c r="P55" s="667"/>
      <c r="Q55" s="667"/>
      <c r="R55" s="667"/>
      <c r="S55" s="667"/>
      <c r="T55" s="667"/>
      <c r="U55" s="667"/>
      <c r="V55" s="667"/>
      <c r="W55" s="667"/>
      <c r="X55" s="667"/>
      <c r="Y55" s="667"/>
      <c r="Z55" s="667"/>
      <c r="AA55" s="667"/>
      <c r="AB55" s="667"/>
      <c r="AC55" s="667"/>
      <c r="AD55" s="667"/>
      <c r="AE55" s="667"/>
      <c r="AF55" s="667"/>
      <c r="AG55" s="667"/>
      <c r="AH55" s="667"/>
      <c r="AI55" s="667"/>
      <c r="AJ55" s="667"/>
      <c r="AK55" s="668"/>
    </row>
    <row r="56" spans="1:38" x14ac:dyDescent="0.25">
      <c r="B56" s="667"/>
      <c r="C56" s="667"/>
      <c r="D56" s="667"/>
      <c r="E56" s="667"/>
      <c r="F56" s="667"/>
      <c r="G56" s="667"/>
      <c r="H56" s="667"/>
      <c r="I56" s="667"/>
      <c r="J56" s="667"/>
      <c r="K56" s="667"/>
      <c r="L56" s="667"/>
      <c r="M56" s="667"/>
      <c r="N56" s="667"/>
      <c r="O56" s="667"/>
      <c r="P56" s="667"/>
      <c r="Q56" s="667"/>
      <c r="R56" s="667"/>
      <c r="S56" s="667"/>
      <c r="T56" s="667"/>
      <c r="U56" s="667"/>
      <c r="V56" s="667"/>
      <c r="W56" s="667"/>
      <c r="X56" s="667"/>
      <c r="Y56" s="667"/>
      <c r="Z56" s="667"/>
      <c r="AA56" s="667"/>
      <c r="AB56" s="667"/>
      <c r="AC56" s="667"/>
      <c r="AD56" s="667"/>
      <c r="AE56" s="667"/>
      <c r="AF56" s="667"/>
      <c r="AG56" s="667"/>
      <c r="AH56" s="667"/>
      <c r="AI56" s="667"/>
      <c r="AJ56" s="667"/>
      <c r="AK56" s="668"/>
    </row>
    <row r="57" spans="1:38" s="620" customFormat="1" x14ac:dyDescent="0.25">
      <c r="A57" s="621"/>
      <c r="B57" s="667"/>
      <c r="C57" s="667"/>
      <c r="D57" s="667"/>
      <c r="E57" s="667"/>
      <c r="F57" s="667"/>
      <c r="G57" s="667"/>
      <c r="H57" s="667"/>
      <c r="I57" s="667"/>
      <c r="J57" s="667"/>
      <c r="K57" s="667"/>
      <c r="L57" s="667"/>
      <c r="M57" s="667"/>
      <c r="N57" s="667"/>
      <c r="O57" s="667"/>
      <c r="P57" s="667"/>
      <c r="Q57" s="667"/>
      <c r="R57" s="667"/>
      <c r="S57" s="667"/>
      <c r="T57" s="667"/>
      <c r="U57" s="667"/>
      <c r="V57" s="667"/>
      <c r="W57" s="667"/>
      <c r="X57" s="667"/>
      <c r="Y57" s="667"/>
      <c r="Z57" s="667"/>
      <c r="AA57" s="667"/>
      <c r="AB57" s="667"/>
      <c r="AC57" s="667"/>
      <c r="AD57" s="667"/>
      <c r="AE57" s="667"/>
      <c r="AF57" s="667"/>
      <c r="AG57" s="667"/>
      <c r="AH57" s="667"/>
      <c r="AI57" s="667"/>
      <c r="AJ57" s="667"/>
      <c r="AK57" s="668"/>
      <c r="AL57" s="619"/>
    </row>
    <row r="58" spans="1:38" s="620" customFormat="1" x14ac:dyDescent="0.25">
      <c r="A58" s="621"/>
      <c r="B58" s="667"/>
      <c r="C58" s="667"/>
      <c r="D58" s="667"/>
      <c r="E58" s="667"/>
      <c r="F58" s="667"/>
      <c r="G58" s="667"/>
      <c r="H58" s="667"/>
      <c r="I58" s="667"/>
      <c r="J58" s="667"/>
      <c r="K58" s="667"/>
      <c r="L58" s="667"/>
      <c r="M58" s="667"/>
      <c r="N58" s="667"/>
      <c r="O58" s="667"/>
      <c r="P58" s="667"/>
      <c r="Q58" s="667"/>
      <c r="R58" s="667"/>
      <c r="S58" s="667"/>
      <c r="T58" s="667"/>
      <c r="U58" s="667"/>
      <c r="V58" s="667"/>
      <c r="W58" s="667"/>
      <c r="X58" s="667"/>
      <c r="Y58" s="667"/>
      <c r="Z58" s="667"/>
      <c r="AA58" s="667"/>
      <c r="AB58" s="667"/>
      <c r="AC58" s="667"/>
      <c r="AD58" s="667"/>
      <c r="AE58" s="667"/>
      <c r="AF58" s="667"/>
      <c r="AG58" s="667"/>
      <c r="AH58" s="667"/>
      <c r="AI58" s="667"/>
      <c r="AJ58" s="667"/>
      <c r="AK58" s="668"/>
      <c r="AL58" s="619"/>
    </row>
    <row r="59" spans="1:38" s="620" customFormat="1" x14ac:dyDescent="0.25">
      <c r="A59" s="621"/>
      <c r="B59" s="667"/>
      <c r="C59" s="667"/>
      <c r="D59" s="667"/>
      <c r="E59" s="667"/>
      <c r="F59" s="667"/>
      <c r="G59" s="667"/>
      <c r="H59" s="667"/>
      <c r="I59" s="667"/>
      <c r="J59" s="667"/>
      <c r="K59" s="667"/>
      <c r="L59" s="667"/>
      <c r="M59" s="667"/>
      <c r="N59" s="667"/>
      <c r="O59" s="667"/>
      <c r="P59" s="667"/>
      <c r="Q59" s="667"/>
      <c r="R59" s="667"/>
      <c r="S59" s="667"/>
      <c r="T59" s="667"/>
      <c r="U59" s="667"/>
      <c r="V59" s="667"/>
      <c r="W59" s="667"/>
      <c r="X59" s="667"/>
      <c r="Y59" s="667"/>
      <c r="Z59" s="667"/>
      <c r="AA59" s="667"/>
      <c r="AB59" s="667"/>
      <c r="AC59" s="667"/>
      <c r="AD59" s="667"/>
      <c r="AE59" s="667"/>
      <c r="AF59" s="667"/>
      <c r="AG59" s="667"/>
      <c r="AH59" s="667"/>
      <c r="AI59" s="667"/>
      <c r="AJ59" s="667"/>
      <c r="AK59" s="668"/>
      <c r="AL59" s="619"/>
    </row>
    <row r="60" spans="1:38" s="620" customFormat="1" x14ac:dyDescent="0.25">
      <c r="A60" s="621"/>
      <c r="B60" s="667"/>
      <c r="C60" s="667"/>
      <c r="D60" s="667"/>
      <c r="E60" s="667"/>
      <c r="F60" s="667"/>
      <c r="G60" s="667"/>
      <c r="H60" s="667"/>
      <c r="I60" s="667"/>
      <c r="J60" s="667"/>
      <c r="K60" s="667"/>
      <c r="L60" s="667"/>
      <c r="M60" s="667"/>
      <c r="N60" s="667"/>
      <c r="O60" s="667"/>
      <c r="P60" s="667"/>
      <c r="Q60" s="667"/>
      <c r="R60" s="667"/>
      <c r="V60" s="667"/>
      <c r="W60" s="667"/>
      <c r="X60" s="667"/>
      <c r="Y60" s="667"/>
      <c r="Z60" s="667"/>
      <c r="AA60" s="667"/>
      <c r="AB60" s="667"/>
      <c r="AC60" s="667"/>
      <c r="AD60" s="667"/>
      <c r="AE60" s="667"/>
      <c r="AF60" s="667"/>
      <c r="AG60" s="667"/>
      <c r="AH60" s="667"/>
      <c r="AI60" s="667"/>
      <c r="AJ60" s="667"/>
      <c r="AK60" s="668"/>
      <c r="AL60" s="619"/>
    </row>
    <row r="61" spans="1:38" s="620" customFormat="1" x14ac:dyDescent="0.25">
      <c r="A61" s="621"/>
      <c r="B61" s="667"/>
      <c r="C61" s="667"/>
      <c r="D61" s="667"/>
      <c r="E61" s="667"/>
      <c r="F61" s="667"/>
      <c r="G61" s="667"/>
      <c r="H61" s="667"/>
      <c r="I61" s="667"/>
      <c r="J61" s="667"/>
      <c r="K61" s="667"/>
      <c r="L61" s="667"/>
      <c r="M61" s="667"/>
      <c r="N61" s="667"/>
      <c r="O61" s="667"/>
      <c r="P61" s="667"/>
      <c r="Q61" s="667"/>
      <c r="R61" s="667"/>
      <c r="V61" s="667"/>
      <c r="W61" s="667"/>
      <c r="X61" s="667"/>
      <c r="Y61" s="667"/>
      <c r="Z61" s="667"/>
      <c r="AA61" s="667"/>
      <c r="AB61" s="667"/>
      <c r="AC61" s="667"/>
      <c r="AD61" s="667"/>
      <c r="AE61" s="667"/>
      <c r="AF61" s="667"/>
      <c r="AG61" s="667"/>
      <c r="AH61" s="667"/>
      <c r="AI61" s="667"/>
      <c r="AJ61" s="667"/>
      <c r="AK61" s="668"/>
      <c r="AL61" s="619"/>
    </row>
    <row r="62" spans="1:38" s="620" customFormat="1" x14ac:dyDescent="0.25">
      <c r="A62" s="621"/>
      <c r="B62" s="667"/>
      <c r="C62" s="667"/>
      <c r="D62" s="667"/>
      <c r="E62" s="667"/>
      <c r="F62" s="667"/>
      <c r="G62" s="667"/>
      <c r="H62" s="667"/>
      <c r="I62" s="667"/>
      <c r="J62" s="667"/>
      <c r="K62" s="667"/>
      <c r="L62" s="667"/>
      <c r="M62" s="667"/>
      <c r="N62" s="667"/>
      <c r="O62" s="667"/>
      <c r="P62" s="667"/>
      <c r="Q62" s="667"/>
      <c r="R62" s="667"/>
      <c r="S62" s="667"/>
      <c r="T62" s="667"/>
      <c r="U62" s="667"/>
      <c r="V62" s="667"/>
      <c r="W62" s="667"/>
      <c r="X62" s="667"/>
      <c r="Y62" s="667"/>
      <c r="Z62" s="667"/>
      <c r="AA62" s="667"/>
      <c r="AB62" s="667"/>
      <c r="AC62" s="667"/>
      <c r="AD62" s="667"/>
      <c r="AE62" s="667"/>
      <c r="AF62" s="667"/>
      <c r="AG62" s="667"/>
      <c r="AH62" s="667"/>
      <c r="AI62" s="667"/>
      <c r="AJ62" s="667"/>
      <c r="AK62" s="668"/>
      <c r="AL62" s="619"/>
    </row>
    <row r="63" spans="1:38" s="620" customFormat="1" x14ac:dyDescent="0.25">
      <c r="A63" s="621"/>
      <c r="B63" s="667"/>
      <c r="C63" s="667"/>
      <c r="D63" s="667"/>
      <c r="E63" s="667"/>
      <c r="F63" s="667"/>
      <c r="G63" s="667"/>
      <c r="H63" s="667"/>
      <c r="I63" s="667"/>
      <c r="J63" s="667"/>
      <c r="K63" s="667"/>
      <c r="L63" s="667"/>
      <c r="M63" s="667"/>
      <c r="N63" s="667"/>
      <c r="O63" s="667"/>
      <c r="P63" s="667"/>
      <c r="Q63" s="667"/>
      <c r="R63" s="667"/>
      <c r="S63" s="667"/>
      <c r="T63" s="667"/>
      <c r="U63" s="667"/>
      <c r="V63" s="667"/>
      <c r="W63" s="667"/>
      <c r="X63" s="667"/>
      <c r="Y63" s="667"/>
      <c r="Z63" s="667"/>
      <c r="AA63" s="667"/>
      <c r="AB63" s="667"/>
      <c r="AC63" s="667"/>
      <c r="AD63" s="667"/>
      <c r="AE63" s="667"/>
      <c r="AF63" s="667"/>
      <c r="AG63" s="667"/>
      <c r="AH63" s="667"/>
      <c r="AI63" s="667"/>
      <c r="AJ63" s="667"/>
      <c r="AK63" s="668"/>
      <c r="AL63" s="619"/>
    </row>
    <row r="64" spans="1:38" s="620" customFormat="1" x14ac:dyDescent="0.25">
      <c r="A64" s="621"/>
      <c r="B64" s="667"/>
      <c r="C64" s="667"/>
      <c r="D64" s="667"/>
      <c r="E64" s="667"/>
      <c r="F64" s="667"/>
      <c r="G64" s="667"/>
      <c r="H64" s="667"/>
      <c r="I64" s="667"/>
      <c r="J64" s="667"/>
      <c r="K64" s="667"/>
      <c r="L64" s="667"/>
      <c r="M64" s="667"/>
      <c r="N64" s="667"/>
      <c r="O64" s="667"/>
      <c r="P64" s="667"/>
      <c r="Q64" s="667"/>
      <c r="R64" s="667"/>
      <c r="S64" s="667"/>
      <c r="T64" s="667"/>
      <c r="U64" s="667"/>
      <c r="V64" s="667"/>
      <c r="W64" s="667"/>
      <c r="X64" s="667"/>
      <c r="Y64" s="667"/>
      <c r="Z64" s="667"/>
      <c r="AA64" s="667"/>
      <c r="AB64" s="667"/>
      <c r="AC64" s="667"/>
      <c r="AD64" s="667"/>
      <c r="AE64" s="667"/>
      <c r="AF64" s="667"/>
      <c r="AG64" s="667"/>
      <c r="AH64" s="667"/>
      <c r="AI64" s="667"/>
      <c r="AJ64" s="667"/>
      <c r="AK64" s="668"/>
      <c r="AL64" s="619"/>
    </row>
    <row r="65" spans="1:38" s="620" customFormat="1" x14ac:dyDescent="0.25">
      <c r="A65" s="621"/>
      <c r="B65" s="667"/>
      <c r="C65" s="667"/>
      <c r="D65" s="667"/>
      <c r="E65" s="667"/>
      <c r="F65" s="667"/>
      <c r="G65" s="667"/>
      <c r="H65" s="667"/>
      <c r="I65" s="667"/>
      <c r="J65" s="667"/>
      <c r="K65" s="667"/>
      <c r="L65" s="667"/>
      <c r="M65" s="667"/>
      <c r="N65" s="667"/>
      <c r="O65" s="667"/>
      <c r="P65" s="667"/>
      <c r="Q65" s="667"/>
      <c r="R65" s="667"/>
      <c r="S65" s="667"/>
      <c r="T65" s="667"/>
      <c r="U65" s="667"/>
      <c r="V65" s="667"/>
      <c r="W65" s="667"/>
      <c r="X65" s="667"/>
      <c r="Y65" s="667"/>
      <c r="Z65" s="667"/>
      <c r="AA65" s="667"/>
      <c r="AB65" s="667"/>
      <c r="AC65" s="667"/>
      <c r="AD65" s="667"/>
      <c r="AE65" s="667"/>
      <c r="AF65" s="667"/>
      <c r="AG65" s="667"/>
      <c r="AH65" s="667"/>
      <c r="AI65" s="667"/>
      <c r="AJ65" s="667"/>
      <c r="AK65" s="668"/>
      <c r="AL65" s="619"/>
    </row>
    <row r="66" spans="1:38" s="620" customFormat="1" x14ac:dyDescent="0.25">
      <c r="A66" s="621"/>
      <c r="B66" s="667"/>
      <c r="C66" s="667"/>
      <c r="D66" s="667"/>
      <c r="E66" s="667"/>
      <c r="F66" s="667"/>
      <c r="G66" s="667"/>
      <c r="H66" s="667"/>
      <c r="I66" s="667"/>
      <c r="J66" s="667"/>
      <c r="K66" s="667"/>
      <c r="L66" s="667"/>
      <c r="M66" s="667"/>
      <c r="N66" s="667"/>
      <c r="O66" s="667"/>
      <c r="P66" s="667"/>
      <c r="Q66" s="667"/>
      <c r="R66" s="667"/>
      <c r="S66" s="667"/>
      <c r="T66" s="667"/>
      <c r="U66" s="667"/>
      <c r="V66" s="667"/>
      <c r="W66" s="667"/>
      <c r="X66" s="667"/>
      <c r="Y66" s="667"/>
      <c r="Z66" s="667"/>
      <c r="AA66" s="667"/>
      <c r="AB66" s="667"/>
      <c r="AC66" s="667"/>
      <c r="AD66" s="667"/>
      <c r="AE66" s="667"/>
      <c r="AF66" s="667"/>
      <c r="AG66" s="667"/>
      <c r="AH66" s="667"/>
      <c r="AI66" s="667"/>
      <c r="AJ66" s="667"/>
      <c r="AK66" s="668"/>
      <c r="AL66" s="619"/>
    </row>
    <row r="67" spans="1:38" s="620" customFormat="1" x14ac:dyDescent="0.25">
      <c r="A67" s="621"/>
      <c r="B67" s="667"/>
      <c r="C67" s="667"/>
      <c r="D67" s="667"/>
      <c r="E67" s="667"/>
      <c r="F67" s="667"/>
      <c r="G67" s="667"/>
      <c r="H67" s="667"/>
      <c r="I67" s="667"/>
      <c r="J67" s="667"/>
      <c r="K67" s="667"/>
      <c r="L67" s="667"/>
      <c r="M67" s="667"/>
      <c r="N67" s="667"/>
      <c r="O67" s="667"/>
      <c r="P67" s="667"/>
      <c r="Q67" s="667"/>
      <c r="R67" s="667"/>
      <c r="S67" s="667"/>
      <c r="T67" s="667"/>
      <c r="U67" s="667"/>
      <c r="V67" s="667"/>
      <c r="W67" s="667"/>
      <c r="X67" s="667"/>
      <c r="Y67" s="667"/>
      <c r="Z67" s="667"/>
      <c r="AA67" s="667"/>
      <c r="AB67" s="667"/>
      <c r="AC67" s="667"/>
      <c r="AD67" s="667"/>
      <c r="AE67" s="667"/>
      <c r="AF67" s="667"/>
      <c r="AG67" s="667"/>
      <c r="AH67" s="667"/>
      <c r="AI67" s="667"/>
      <c r="AJ67" s="667"/>
      <c r="AK67" s="668"/>
      <c r="AL67" s="619"/>
    </row>
    <row r="68" spans="1:38" s="620" customFormat="1" x14ac:dyDescent="0.25">
      <c r="A68" s="621"/>
      <c r="B68" s="667"/>
      <c r="C68" s="667"/>
      <c r="D68" s="667"/>
      <c r="E68" s="667"/>
      <c r="F68" s="667"/>
      <c r="G68" s="667"/>
      <c r="H68" s="667"/>
      <c r="I68" s="667"/>
      <c r="J68" s="667"/>
      <c r="K68" s="667"/>
      <c r="L68" s="667"/>
      <c r="M68" s="667"/>
      <c r="N68" s="667"/>
      <c r="O68" s="667"/>
      <c r="P68" s="667"/>
      <c r="Q68" s="667"/>
      <c r="R68" s="667"/>
      <c r="S68" s="667"/>
      <c r="T68" s="667"/>
      <c r="U68" s="667"/>
      <c r="V68" s="667"/>
      <c r="W68" s="667"/>
      <c r="X68" s="667"/>
      <c r="Y68" s="667"/>
      <c r="Z68" s="667"/>
      <c r="AA68" s="667"/>
      <c r="AB68" s="667"/>
      <c r="AC68" s="667"/>
      <c r="AD68" s="667"/>
      <c r="AE68" s="667"/>
      <c r="AF68" s="667"/>
      <c r="AG68" s="667"/>
      <c r="AH68" s="667"/>
      <c r="AI68" s="667"/>
      <c r="AJ68" s="667"/>
      <c r="AK68" s="668"/>
      <c r="AL68" s="619"/>
    </row>
    <row r="69" spans="1:38" s="620" customFormat="1" x14ac:dyDescent="0.25">
      <c r="A69" s="621"/>
      <c r="B69" s="666"/>
      <c r="G69" s="667"/>
      <c r="H69" s="667"/>
      <c r="I69" s="667"/>
      <c r="J69" s="667"/>
      <c r="K69" s="667"/>
      <c r="L69" s="667"/>
      <c r="M69" s="667"/>
      <c r="N69" s="667"/>
      <c r="O69" s="667"/>
      <c r="P69" s="667"/>
      <c r="Q69" s="667"/>
      <c r="R69" s="667"/>
      <c r="S69" s="667"/>
      <c r="T69" s="667"/>
      <c r="U69" s="667"/>
      <c r="V69" s="667"/>
      <c r="W69" s="667"/>
      <c r="X69" s="667"/>
      <c r="Y69" s="667"/>
      <c r="Z69" s="667"/>
      <c r="AA69" s="667"/>
      <c r="AB69" s="667"/>
      <c r="AC69" s="667"/>
      <c r="AD69" s="667"/>
      <c r="AE69" s="667"/>
      <c r="AF69" s="667"/>
      <c r="AG69" s="667"/>
      <c r="AH69" s="667"/>
      <c r="AI69" s="667"/>
      <c r="AJ69" s="667"/>
      <c r="AK69" s="668"/>
      <c r="AL69" s="619"/>
    </row>
    <row r="70" spans="1:38" s="620" customFormat="1" x14ac:dyDescent="0.25">
      <c r="A70" s="621"/>
      <c r="B70" s="666"/>
      <c r="G70" s="667"/>
      <c r="H70" s="667"/>
      <c r="I70" s="667"/>
      <c r="J70" s="667"/>
      <c r="K70" s="667"/>
      <c r="L70" s="667"/>
      <c r="M70" s="667"/>
      <c r="N70" s="667"/>
      <c r="O70" s="667"/>
      <c r="P70" s="667"/>
      <c r="Q70" s="667"/>
      <c r="R70" s="667"/>
      <c r="S70" s="667"/>
      <c r="T70" s="667"/>
      <c r="U70" s="667"/>
      <c r="V70" s="667"/>
      <c r="W70" s="667"/>
      <c r="X70" s="667"/>
      <c r="Y70" s="667"/>
      <c r="Z70" s="667"/>
      <c r="AA70" s="667"/>
      <c r="AB70" s="667"/>
      <c r="AC70" s="667"/>
      <c r="AD70" s="667"/>
      <c r="AE70" s="667"/>
      <c r="AF70" s="667"/>
      <c r="AG70" s="667"/>
      <c r="AH70" s="667"/>
      <c r="AI70" s="667"/>
      <c r="AJ70" s="667"/>
      <c r="AK70" s="668"/>
      <c r="AL70" s="619"/>
    </row>
    <row r="71" spans="1:38" s="620" customFormat="1" x14ac:dyDescent="0.25">
      <c r="A71" s="621"/>
      <c r="B71" s="666"/>
      <c r="G71" s="667"/>
      <c r="H71" s="667"/>
      <c r="I71" s="667"/>
      <c r="J71" s="667"/>
      <c r="K71" s="667"/>
      <c r="L71" s="667"/>
      <c r="M71" s="667"/>
      <c r="N71" s="667"/>
      <c r="O71" s="667"/>
      <c r="P71" s="667"/>
      <c r="Q71" s="667"/>
      <c r="R71" s="667"/>
      <c r="S71" s="667"/>
      <c r="T71" s="667"/>
      <c r="U71" s="667"/>
      <c r="V71" s="667"/>
      <c r="W71" s="667"/>
      <c r="X71" s="667"/>
      <c r="Y71" s="667"/>
      <c r="Z71" s="667"/>
      <c r="AA71" s="667"/>
      <c r="AB71" s="667"/>
      <c r="AC71" s="667"/>
      <c r="AD71" s="667"/>
      <c r="AE71" s="667"/>
      <c r="AF71" s="667"/>
      <c r="AG71" s="667"/>
      <c r="AH71" s="667"/>
      <c r="AI71" s="667"/>
      <c r="AJ71" s="667"/>
      <c r="AK71" s="668"/>
      <c r="AL71" s="619"/>
    </row>
    <row r="72" spans="1:38" s="620" customFormat="1" x14ac:dyDescent="0.25">
      <c r="A72" s="621"/>
      <c r="B72" s="666"/>
      <c r="G72" s="667"/>
      <c r="H72" s="667"/>
      <c r="I72" s="667"/>
      <c r="J72" s="667"/>
      <c r="K72" s="667"/>
      <c r="L72" s="667"/>
      <c r="M72" s="667"/>
      <c r="N72" s="667"/>
      <c r="O72" s="667"/>
      <c r="P72" s="667"/>
      <c r="Q72" s="667"/>
      <c r="R72" s="667"/>
      <c r="S72" s="667"/>
      <c r="T72" s="667"/>
      <c r="U72" s="667"/>
      <c r="V72" s="667"/>
      <c r="W72" s="667"/>
      <c r="X72" s="667"/>
      <c r="Y72" s="667"/>
      <c r="Z72" s="667"/>
      <c r="AA72" s="667"/>
      <c r="AB72" s="667"/>
      <c r="AC72" s="667"/>
      <c r="AD72" s="667"/>
      <c r="AE72" s="667"/>
      <c r="AF72" s="667"/>
      <c r="AG72" s="667"/>
      <c r="AH72" s="667"/>
      <c r="AI72" s="667"/>
      <c r="AJ72" s="667"/>
      <c r="AK72" s="668"/>
      <c r="AL72" s="619"/>
    </row>
    <row r="73" spans="1:38" s="620" customFormat="1" x14ac:dyDescent="0.25">
      <c r="A73" s="621"/>
      <c r="B73" s="666"/>
      <c r="G73" s="667"/>
      <c r="H73" s="667"/>
      <c r="I73" s="667"/>
      <c r="J73" s="667"/>
      <c r="K73" s="667"/>
      <c r="L73" s="667"/>
      <c r="M73" s="667"/>
      <c r="N73" s="667"/>
      <c r="O73" s="667"/>
      <c r="P73" s="667"/>
      <c r="Q73" s="667"/>
      <c r="R73" s="667"/>
      <c r="S73" s="667"/>
      <c r="T73" s="667"/>
      <c r="U73" s="667"/>
      <c r="V73" s="667"/>
      <c r="W73" s="667"/>
      <c r="X73" s="667"/>
      <c r="Y73" s="667"/>
      <c r="Z73" s="667"/>
      <c r="AA73" s="667"/>
      <c r="AB73" s="667"/>
      <c r="AC73" s="667"/>
      <c r="AD73" s="667"/>
      <c r="AE73" s="667"/>
      <c r="AF73" s="667"/>
      <c r="AG73" s="667"/>
      <c r="AH73" s="667"/>
      <c r="AI73" s="667"/>
      <c r="AJ73" s="667"/>
      <c r="AK73" s="668"/>
      <c r="AL73" s="619"/>
    </row>
    <row r="74" spans="1:38" s="620" customFormat="1" x14ac:dyDescent="0.25">
      <c r="A74" s="621"/>
      <c r="B74" s="666"/>
      <c r="G74" s="667"/>
      <c r="H74" s="667"/>
      <c r="I74" s="667"/>
      <c r="J74" s="667"/>
      <c r="K74" s="667"/>
      <c r="L74" s="667"/>
      <c r="M74" s="667"/>
      <c r="N74" s="667"/>
      <c r="O74" s="667"/>
      <c r="P74" s="667"/>
      <c r="Q74" s="667"/>
      <c r="R74" s="667"/>
      <c r="S74" s="667"/>
      <c r="T74" s="667"/>
      <c r="U74" s="667"/>
      <c r="V74" s="667"/>
      <c r="W74" s="667"/>
      <c r="X74" s="667"/>
      <c r="Y74" s="667"/>
      <c r="Z74" s="667"/>
      <c r="AA74" s="667"/>
      <c r="AB74" s="667"/>
      <c r="AC74" s="667"/>
      <c r="AD74" s="667"/>
      <c r="AE74" s="667"/>
      <c r="AF74" s="667"/>
      <c r="AG74" s="667"/>
      <c r="AH74" s="667"/>
      <c r="AI74" s="667"/>
      <c r="AJ74" s="667"/>
      <c r="AK74" s="668"/>
      <c r="AL74" s="619"/>
    </row>
    <row r="75" spans="1:38" s="620" customFormat="1" x14ac:dyDescent="0.25">
      <c r="A75" s="621"/>
      <c r="B75" s="666"/>
      <c r="G75" s="667"/>
      <c r="H75" s="667"/>
      <c r="I75" s="667"/>
      <c r="J75" s="667"/>
      <c r="K75" s="667"/>
      <c r="L75" s="667"/>
      <c r="M75" s="667"/>
      <c r="N75" s="667"/>
      <c r="O75" s="667"/>
      <c r="P75" s="667"/>
      <c r="Q75" s="667"/>
      <c r="R75" s="667"/>
      <c r="S75" s="667"/>
      <c r="T75" s="667"/>
      <c r="U75" s="667"/>
      <c r="V75" s="667"/>
      <c r="W75" s="667"/>
      <c r="X75" s="667"/>
      <c r="Y75" s="667"/>
      <c r="Z75" s="667"/>
      <c r="AA75" s="667"/>
      <c r="AB75" s="667"/>
      <c r="AC75" s="667"/>
      <c r="AD75" s="667"/>
      <c r="AE75" s="667"/>
      <c r="AF75" s="667"/>
      <c r="AG75" s="667"/>
      <c r="AH75" s="667"/>
      <c r="AI75" s="667"/>
      <c r="AJ75" s="667"/>
      <c r="AK75" s="668"/>
      <c r="AL75" s="619"/>
    </row>
    <row r="76" spans="1:38" s="620" customFormat="1" x14ac:dyDescent="0.25">
      <c r="A76" s="621"/>
      <c r="B76" s="666"/>
      <c r="G76" s="667"/>
      <c r="H76" s="667"/>
      <c r="I76" s="667"/>
      <c r="J76" s="667"/>
      <c r="K76" s="667"/>
      <c r="L76" s="667"/>
      <c r="M76" s="667"/>
      <c r="N76" s="667"/>
      <c r="O76" s="667"/>
      <c r="P76" s="667"/>
      <c r="Q76" s="667"/>
      <c r="R76" s="667"/>
      <c r="S76" s="667"/>
      <c r="T76" s="667"/>
      <c r="U76" s="667"/>
      <c r="V76" s="667"/>
      <c r="W76" s="667"/>
      <c r="X76" s="667"/>
      <c r="Y76" s="667"/>
      <c r="Z76" s="667"/>
      <c r="AA76" s="667"/>
      <c r="AB76" s="667"/>
      <c r="AC76" s="667"/>
      <c r="AD76" s="667"/>
      <c r="AE76" s="667"/>
      <c r="AF76" s="667"/>
      <c r="AG76" s="667"/>
      <c r="AH76" s="667"/>
      <c r="AI76" s="667"/>
      <c r="AJ76" s="667"/>
      <c r="AK76" s="668"/>
      <c r="AL76" s="619"/>
    </row>
    <row r="77" spans="1:38" s="620" customFormat="1" x14ac:dyDescent="0.25">
      <c r="A77" s="621"/>
      <c r="B77" s="666"/>
      <c r="G77" s="667"/>
      <c r="H77" s="667"/>
      <c r="I77" s="667"/>
      <c r="J77" s="667"/>
      <c r="K77" s="667"/>
      <c r="L77" s="667"/>
      <c r="M77" s="667"/>
      <c r="N77" s="667"/>
      <c r="O77" s="667"/>
      <c r="P77" s="667"/>
      <c r="Q77" s="667"/>
      <c r="R77" s="667"/>
      <c r="S77" s="667"/>
      <c r="T77" s="667"/>
      <c r="U77" s="667"/>
      <c r="V77" s="667"/>
      <c r="W77" s="667"/>
      <c r="X77" s="667"/>
      <c r="Y77" s="667"/>
      <c r="Z77" s="667"/>
      <c r="AA77" s="667"/>
      <c r="AB77" s="667"/>
      <c r="AC77" s="667"/>
      <c r="AD77" s="667"/>
      <c r="AE77" s="667"/>
      <c r="AF77" s="667"/>
      <c r="AG77" s="667"/>
      <c r="AH77" s="667"/>
      <c r="AI77" s="667"/>
      <c r="AJ77" s="667"/>
      <c r="AK77" s="668"/>
      <c r="AL77" s="619"/>
    </row>
    <row r="78" spans="1:38" s="620" customFormat="1" x14ac:dyDescent="0.25">
      <c r="A78" s="621"/>
      <c r="B78" s="666"/>
      <c r="G78" s="667"/>
      <c r="H78" s="667"/>
      <c r="I78" s="667"/>
      <c r="J78" s="667"/>
      <c r="K78" s="667"/>
      <c r="L78" s="667"/>
      <c r="M78" s="667"/>
      <c r="N78" s="667"/>
      <c r="O78" s="667"/>
      <c r="P78" s="667"/>
      <c r="Q78" s="667"/>
      <c r="R78" s="667"/>
      <c r="S78" s="667"/>
      <c r="T78" s="667"/>
      <c r="U78" s="667"/>
      <c r="V78" s="667"/>
      <c r="W78" s="667"/>
      <c r="X78" s="667"/>
      <c r="Y78" s="667"/>
      <c r="Z78" s="667"/>
      <c r="AA78" s="667"/>
      <c r="AB78" s="667"/>
      <c r="AC78" s="667"/>
      <c r="AD78" s="667"/>
      <c r="AE78" s="667"/>
      <c r="AF78" s="667"/>
      <c r="AG78" s="667"/>
      <c r="AH78" s="667"/>
      <c r="AI78" s="667"/>
      <c r="AJ78" s="667"/>
      <c r="AK78" s="668"/>
      <c r="AL78" s="619"/>
    </row>
    <row r="79" spans="1:38" s="620" customFormat="1" x14ac:dyDescent="0.25">
      <c r="A79" s="621"/>
      <c r="B79" s="666"/>
      <c r="G79" s="667"/>
      <c r="H79" s="667"/>
      <c r="I79" s="667"/>
      <c r="J79" s="667"/>
      <c r="K79" s="667"/>
      <c r="L79" s="667"/>
      <c r="M79" s="667"/>
      <c r="N79" s="667"/>
      <c r="O79" s="667"/>
      <c r="P79" s="667"/>
      <c r="Q79" s="667"/>
      <c r="R79" s="667"/>
      <c r="S79" s="667"/>
      <c r="T79" s="667"/>
      <c r="U79" s="667"/>
      <c r="V79" s="667"/>
      <c r="W79" s="667"/>
      <c r="X79" s="667"/>
      <c r="Y79" s="667"/>
      <c r="Z79" s="667"/>
      <c r="AA79" s="667"/>
      <c r="AB79" s="667"/>
      <c r="AC79" s="667"/>
      <c r="AD79" s="667"/>
      <c r="AE79" s="667"/>
      <c r="AF79" s="667"/>
      <c r="AG79" s="667"/>
      <c r="AH79" s="667"/>
      <c r="AI79" s="667"/>
      <c r="AJ79" s="667"/>
      <c r="AK79" s="668"/>
      <c r="AL79" s="619"/>
    </row>
    <row r="80" spans="1:38" s="620" customFormat="1" x14ac:dyDescent="0.25">
      <c r="A80" s="621"/>
      <c r="B80" s="666"/>
      <c r="G80" s="667"/>
      <c r="H80" s="667"/>
      <c r="I80" s="667"/>
      <c r="J80" s="667"/>
      <c r="K80" s="667"/>
      <c r="L80" s="667"/>
      <c r="M80" s="667"/>
      <c r="N80" s="667"/>
      <c r="O80" s="667"/>
      <c r="P80" s="667"/>
      <c r="Q80" s="667"/>
      <c r="R80" s="667"/>
      <c r="S80" s="667"/>
      <c r="T80" s="667"/>
      <c r="U80" s="667"/>
      <c r="V80" s="667"/>
      <c r="W80" s="667"/>
      <c r="X80" s="667"/>
      <c r="Y80" s="667"/>
      <c r="Z80" s="667"/>
      <c r="AA80" s="667"/>
      <c r="AB80" s="667"/>
      <c r="AC80" s="667"/>
      <c r="AD80" s="667"/>
      <c r="AE80" s="667"/>
      <c r="AF80" s="667"/>
      <c r="AG80" s="667"/>
      <c r="AH80" s="667"/>
      <c r="AI80" s="667"/>
      <c r="AJ80" s="667"/>
      <c r="AK80" s="668"/>
      <c r="AL80" s="619"/>
    </row>
    <row r="81" spans="1:38" s="620" customFormat="1" x14ac:dyDescent="0.25">
      <c r="A81" s="621"/>
      <c r="B81" s="666"/>
      <c r="G81" s="667"/>
      <c r="H81" s="667"/>
      <c r="I81" s="667"/>
      <c r="J81" s="667"/>
      <c r="K81" s="667"/>
      <c r="L81" s="667"/>
      <c r="M81" s="667"/>
      <c r="N81" s="667"/>
      <c r="O81" s="667"/>
      <c r="P81" s="667"/>
      <c r="Q81" s="667"/>
      <c r="R81" s="667"/>
      <c r="S81" s="667"/>
      <c r="T81" s="667"/>
      <c r="U81" s="667"/>
      <c r="V81" s="667"/>
      <c r="W81" s="667"/>
      <c r="X81" s="667"/>
      <c r="Y81" s="667"/>
      <c r="Z81" s="667"/>
      <c r="AA81" s="667"/>
      <c r="AB81" s="667"/>
      <c r="AC81" s="667"/>
      <c r="AD81" s="667"/>
      <c r="AE81" s="667"/>
      <c r="AF81" s="667"/>
      <c r="AG81" s="667"/>
      <c r="AH81" s="667"/>
      <c r="AI81" s="667"/>
      <c r="AJ81" s="667"/>
      <c r="AK81" s="668"/>
      <c r="AL81" s="619"/>
    </row>
    <row r="82" spans="1:38" s="620" customFormat="1" x14ac:dyDescent="0.25">
      <c r="A82" s="621"/>
      <c r="B82" s="666"/>
      <c r="G82" s="667"/>
      <c r="H82" s="667"/>
      <c r="I82" s="667"/>
      <c r="J82" s="667"/>
      <c r="K82" s="667"/>
      <c r="L82" s="667"/>
      <c r="M82" s="667"/>
      <c r="N82" s="667"/>
      <c r="O82" s="667"/>
      <c r="P82" s="667"/>
      <c r="Q82" s="667"/>
      <c r="R82" s="667"/>
      <c r="S82" s="667"/>
      <c r="T82" s="667"/>
      <c r="U82" s="667"/>
      <c r="V82" s="667"/>
      <c r="W82" s="667"/>
      <c r="X82" s="667"/>
      <c r="Y82" s="667"/>
      <c r="Z82" s="667"/>
      <c r="AA82" s="667"/>
      <c r="AB82" s="667"/>
      <c r="AC82" s="667"/>
      <c r="AD82" s="667"/>
      <c r="AE82" s="667"/>
      <c r="AF82" s="667"/>
      <c r="AG82" s="667"/>
      <c r="AH82" s="667"/>
      <c r="AI82" s="667"/>
      <c r="AJ82" s="667"/>
      <c r="AK82" s="668"/>
      <c r="AL82" s="619"/>
    </row>
    <row r="83" spans="1:38" s="620" customFormat="1" x14ac:dyDescent="0.25">
      <c r="A83" s="621"/>
      <c r="B83" s="666"/>
      <c r="G83" s="667"/>
      <c r="H83" s="667"/>
      <c r="I83" s="667"/>
      <c r="J83" s="667"/>
      <c r="K83" s="667"/>
      <c r="L83" s="667"/>
      <c r="M83" s="667"/>
      <c r="N83" s="667"/>
      <c r="O83" s="667"/>
      <c r="P83" s="667"/>
      <c r="Q83" s="667"/>
      <c r="R83" s="667"/>
      <c r="S83" s="667"/>
      <c r="T83" s="667"/>
      <c r="U83" s="667"/>
      <c r="V83" s="667"/>
      <c r="W83" s="667"/>
      <c r="X83" s="667"/>
      <c r="Y83" s="667"/>
      <c r="Z83" s="667"/>
      <c r="AA83" s="667"/>
      <c r="AB83" s="667"/>
      <c r="AC83" s="667"/>
      <c r="AD83" s="667"/>
      <c r="AE83" s="667"/>
      <c r="AF83" s="667"/>
      <c r="AG83" s="667"/>
      <c r="AH83" s="667"/>
      <c r="AI83" s="667"/>
      <c r="AJ83" s="667"/>
      <c r="AK83" s="668"/>
      <c r="AL83" s="619"/>
    </row>
    <row r="84" spans="1:38" s="620" customFormat="1" x14ac:dyDescent="0.25">
      <c r="A84" s="621"/>
      <c r="B84" s="666"/>
      <c r="G84" s="667"/>
      <c r="H84" s="667"/>
      <c r="I84" s="667"/>
      <c r="J84" s="667"/>
      <c r="K84" s="667"/>
      <c r="L84" s="667"/>
      <c r="M84" s="667"/>
      <c r="N84" s="667"/>
      <c r="O84" s="667"/>
      <c r="P84" s="667"/>
      <c r="Q84" s="667"/>
      <c r="R84" s="667"/>
      <c r="S84" s="667"/>
      <c r="T84" s="667"/>
      <c r="U84" s="667"/>
      <c r="V84" s="667"/>
      <c r="W84" s="667"/>
      <c r="X84" s="667"/>
      <c r="Y84" s="667"/>
      <c r="Z84" s="667"/>
      <c r="AA84" s="667"/>
      <c r="AB84" s="667"/>
      <c r="AC84" s="667"/>
      <c r="AD84" s="667"/>
      <c r="AE84" s="667"/>
      <c r="AF84" s="667"/>
      <c r="AG84" s="667"/>
      <c r="AH84" s="667"/>
      <c r="AI84" s="667"/>
      <c r="AJ84" s="667"/>
      <c r="AK84" s="668"/>
      <c r="AL84" s="619"/>
    </row>
    <row r="85" spans="1:38" s="620" customFormat="1" x14ac:dyDescent="0.25">
      <c r="A85" s="621"/>
      <c r="B85" s="666"/>
      <c r="G85" s="667"/>
      <c r="H85" s="667"/>
      <c r="I85" s="667"/>
      <c r="J85" s="667"/>
      <c r="K85" s="667"/>
      <c r="L85" s="667"/>
      <c r="M85" s="667"/>
      <c r="N85" s="667"/>
      <c r="O85" s="667"/>
      <c r="P85" s="667"/>
      <c r="Q85" s="667"/>
      <c r="R85" s="667"/>
      <c r="S85" s="667"/>
      <c r="T85" s="667"/>
      <c r="U85" s="667"/>
      <c r="V85" s="667"/>
      <c r="W85" s="667"/>
      <c r="X85" s="667"/>
      <c r="Y85" s="667"/>
      <c r="Z85" s="667"/>
      <c r="AA85" s="667"/>
      <c r="AB85" s="667"/>
      <c r="AC85" s="667"/>
      <c r="AD85" s="667"/>
      <c r="AE85" s="667"/>
      <c r="AF85" s="667"/>
      <c r="AG85" s="667"/>
      <c r="AH85" s="667"/>
      <c r="AI85" s="667"/>
      <c r="AJ85" s="667"/>
      <c r="AK85" s="668"/>
      <c r="AL85" s="619"/>
    </row>
    <row r="86" spans="1:38" s="620" customFormat="1" x14ac:dyDescent="0.25">
      <c r="A86" s="621"/>
      <c r="B86" s="666"/>
      <c r="G86" s="667"/>
      <c r="H86" s="667"/>
      <c r="I86" s="667"/>
      <c r="J86" s="667"/>
      <c r="K86" s="667"/>
      <c r="L86" s="667"/>
      <c r="M86" s="667"/>
      <c r="N86" s="667"/>
      <c r="O86" s="667"/>
      <c r="P86" s="667"/>
      <c r="Q86" s="667"/>
      <c r="R86" s="667"/>
      <c r="S86" s="667"/>
      <c r="T86" s="667"/>
      <c r="U86" s="667"/>
      <c r="V86" s="667"/>
      <c r="W86" s="667"/>
      <c r="X86" s="667"/>
      <c r="Y86" s="667"/>
      <c r="Z86" s="667"/>
      <c r="AA86" s="667"/>
      <c r="AB86" s="667"/>
      <c r="AC86" s="667"/>
      <c r="AD86" s="667"/>
      <c r="AE86" s="667"/>
      <c r="AF86" s="667"/>
      <c r="AG86" s="667"/>
      <c r="AH86" s="667"/>
      <c r="AI86" s="667"/>
      <c r="AJ86" s="667"/>
      <c r="AK86" s="668"/>
      <c r="AL86" s="619"/>
    </row>
    <row r="87" spans="1:38" s="620" customFormat="1" x14ac:dyDescent="0.25">
      <c r="A87" s="621"/>
      <c r="B87" s="666"/>
      <c r="G87" s="667"/>
      <c r="H87" s="667"/>
      <c r="I87" s="667"/>
      <c r="J87" s="667"/>
      <c r="K87" s="667"/>
      <c r="L87" s="667"/>
      <c r="M87" s="667"/>
      <c r="N87" s="667"/>
      <c r="O87" s="667"/>
      <c r="P87" s="667"/>
      <c r="Q87" s="667"/>
      <c r="R87" s="667"/>
      <c r="S87" s="667"/>
      <c r="T87" s="667"/>
      <c r="U87" s="667"/>
      <c r="V87" s="667"/>
      <c r="W87" s="667"/>
      <c r="X87" s="667"/>
      <c r="Y87" s="667"/>
      <c r="Z87" s="667"/>
      <c r="AA87" s="667"/>
      <c r="AB87" s="667"/>
      <c r="AC87" s="667"/>
      <c r="AD87" s="667"/>
      <c r="AE87" s="667"/>
      <c r="AF87" s="667"/>
      <c r="AG87" s="667"/>
      <c r="AH87" s="667"/>
      <c r="AI87" s="667"/>
      <c r="AJ87" s="667"/>
      <c r="AK87" s="668"/>
      <c r="AL87" s="619"/>
    </row>
    <row r="88" spans="1:38" s="620" customFormat="1" x14ac:dyDescent="0.25">
      <c r="A88" s="621"/>
      <c r="B88" s="666"/>
      <c r="G88" s="667"/>
      <c r="H88" s="667"/>
      <c r="I88" s="667"/>
      <c r="J88" s="667"/>
      <c r="K88" s="667"/>
      <c r="L88" s="667"/>
      <c r="M88" s="667"/>
      <c r="N88" s="667"/>
      <c r="O88" s="667"/>
      <c r="P88" s="667"/>
      <c r="Q88" s="667"/>
      <c r="R88" s="667"/>
      <c r="S88" s="667"/>
      <c r="T88" s="667"/>
      <c r="U88" s="667"/>
      <c r="V88" s="667"/>
      <c r="W88" s="667"/>
      <c r="X88" s="667"/>
      <c r="Y88" s="667"/>
      <c r="Z88" s="667"/>
      <c r="AA88" s="667"/>
      <c r="AB88" s="667"/>
      <c r="AC88" s="667"/>
      <c r="AD88" s="667"/>
      <c r="AE88" s="667"/>
      <c r="AF88" s="667"/>
      <c r="AG88" s="667"/>
      <c r="AH88" s="667"/>
      <c r="AI88" s="667"/>
      <c r="AJ88" s="667"/>
      <c r="AK88" s="668"/>
      <c r="AL88" s="619"/>
    </row>
    <row r="89" spans="1:38" s="620" customFormat="1" x14ac:dyDescent="0.25">
      <c r="A89" s="621"/>
      <c r="B89" s="666"/>
      <c r="G89" s="667"/>
      <c r="H89" s="667"/>
      <c r="I89" s="667"/>
      <c r="J89" s="667"/>
      <c r="K89" s="667"/>
      <c r="L89" s="667"/>
      <c r="M89" s="667"/>
      <c r="N89" s="667"/>
      <c r="O89" s="667"/>
      <c r="P89" s="667"/>
      <c r="Q89" s="667"/>
      <c r="R89" s="667"/>
      <c r="S89" s="667"/>
      <c r="T89" s="667"/>
      <c r="U89" s="667"/>
      <c r="V89" s="667"/>
      <c r="W89" s="667"/>
      <c r="X89" s="667"/>
      <c r="Y89" s="667"/>
      <c r="Z89" s="667"/>
      <c r="AA89" s="667"/>
      <c r="AB89" s="667"/>
      <c r="AC89" s="667"/>
      <c r="AD89" s="667"/>
      <c r="AE89" s="667"/>
      <c r="AF89" s="667"/>
      <c r="AG89" s="667"/>
      <c r="AH89" s="667"/>
      <c r="AI89" s="667"/>
      <c r="AJ89" s="667"/>
      <c r="AK89" s="668"/>
      <c r="AL89" s="619"/>
    </row>
    <row r="90" spans="1:38" s="620" customFormat="1" x14ac:dyDescent="0.25">
      <c r="A90" s="621"/>
      <c r="B90" s="666"/>
      <c r="G90" s="667"/>
      <c r="H90" s="667"/>
      <c r="I90" s="667"/>
      <c r="J90" s="667"/>
      <c r="K90" s="667"/>
      <c r="L90" s="667"/>
      <c r="M90" s="667"/>
      <c r="N90" s="667"/>
      <c r="O90" s="667"/>
      <c r="P90" s="667"/>
      <c r="Q90" s="667"/>
      <c r="R90" s="667"/>
      <c r="S90" s="667"/>
      <c r="T90" s="667"/>
      <c r="U90" s="667"/>
      <c r="V90" s="667"/>
      <c r="W90" s="667"/>
      <c r="X90" s="667"/>
      <c r="Y90" s="667"/>
      <c r="Z90" s="667"/>
      <c r="AA90" s="667"/>
      <c r="AB90" s="667"/>
      <c r="AC90" s="667"/>
      <c r="AD90" s="667"/>
      <c r="AE90" s="667"/>
      <c r="AF90" s="667"/>
      <c r="AG90" s="667"/>
      <c r="AH90" s="667"/>
      <c r="AI90" s="667"/>
      <c r="AJ90" s="667"/>
      <c r="AK90" s="668"/>
      <c r="AL90" s="619"/>
    </row>
    <row r="91" spans="1:38" s="620" customFormat="1" x14ac:dyDescent="0.25">
      <c r="A91" s="621"/>
      <c r="B91" s="666"/>
      <c r="G91" s="667"/>
      <c r="H91" s="667"/>
      <c r="I91" s="667"/>
      <c r="J91" s="667"/>
      <c r="K91" s="667"/>
      <c r="L91" s="667"/>
      <c r="M91" s="667"/>
      <c r="N91" s="667"/>
      <c r="O91" s="667"/>
      <c r="P91" s="667"/>
      <c r="Q91" s="667"/>
      <c r="R91" s="667"/>
      <c r="S91" s="667"/>
      <c r="T91" s="667"/>
      <c r="U91" s="667"/>
      <c r="V91" s="667"/>
      <c r="W91" s="667"/>
      <c r="X91" s="667"/>
      <c r="Y91" s="667"/>
      <c r="Z91" s="667"/>
      <c r="AA91" s="667"/>
      <c r="AB91" s="667"/>
      <c r="AC91" s="667"/>
      <c r="AD91" s="667"/>
      <c r="AE91" s="667"/>
      <c r="AF91" s="667"/>
      <c r="AG91" s="667"/>
      <c r="AH91" s="667"/>
      <c r="AI91" s="667"/>
      <c r="AJ91" s="667"/>
      <c r="AK91" s="668"/>
      <c r="AL91" s="619"/>
    </row>
    <row r="92" spans="1:38" s="620" customFormat="1" x14ac:dyDescent="0.25">
      <c r="A92" s="621"/>
      <c r="B92" s="666"/>
      <c r="G92" s="667"/>
      <c r="H92" s="667"/>
      <c r="I92" s="667"/>
      <c r="J92" s="667"/>
      <c r="K92" s="667"/>
      <c r="L92" s="667"/>
      <c r="M92" s="667"/>
      <c r="N92" s="667"/>
      <c r="O92" s="667"/>
      <c r="P92" s="667"/>
      <c r="Q92" s="667"/>
      <c r="R92" s="667"/>
      <c r="S92" s="667"/>
      <c r="T92" s="667"/>
      <c r="U92" s="667"/>
      <c r="V92" s="667"/>
      <c r="W92" s="667"/>
      <c r="X92" s="667"/>
      <c r="Y92" s="667"/>
      <c r="Z92" s="667"/>
      <c r="AA92" s="667"/>
      <c r="AB92" s="667"/>
      <c r="AC92" s="667"/>
      <c r="AD92" s="667"/>
      <c r="AE92" s="667"/>
      <c r="AF92" s="667"/>
      <c r="AG92" s="667"/>
      <c r="AH92" s="667"/>
      <c r="AI92" s="667"/>
      <c r="AJ92" s="667"/>
      <c r="AK92" s="668"/>
      <c r="AL92" s="619"/>
    </row>
    <row r="93" spans="1:38" s="620" customFormat="1" x14ac:dyDescent="0.25">
      <c r="A93" s="621"/>
      <c r="B93" s="666"/>
      <c r="G93" s="667"/>
      <c r="H93" s="667"/>
      <c r="I93" s="667"/>
      <c r="J93" s="667"/>
      <c r="K93" s="667"/>
      <c r="L93" s="667"/>
      <c r="M93" s="667"/>
      <c r="N93" s="667"/>
      <c r="O93" s="667"/>
      <c r="P93" s="667"/>
      <c r="Q93" s="667"/>
      <c r="R93" s="667"/>
      <c r="S93" s="667"/>
      <c r="T93" s="667"/>
      <c r="U93" s="667"/>
      <c r="V93" s="667"/>
      <c r="W93" s="667"/>
      <c r="X93" s="667"/>
      <c r="Y93" s="667"/>
      <c r="Z93" s="667"/>
      <c r="AA93" s="667"/>
      <c r="AB93" s="667"/>
      <c r="AC93" s="667"/>
      <c r="AD93" s="667"/>
      <c r="AE93" s="667"/>
      <c r="AF93" s="667"/>
      <c r="AG93" s="667"/>
      <c r="AH93" s="667"/>
      <c r="AI93" s="667"/>
      <c r="AJ93" s="667"/>
      <c r="AK93" s="668"/>
      <c r="AL93" s="619"/>
    </row>
    <row r="94" spans="1:38" s="620" customFormat="1" x14ac:dyDescent="0.25">
      <c r="A94" s="621"/>
      <c r="B94" s="666"/>
      <c r="G94" s="667"/>
      <c r="H94" s="667"/>
      <c r="I94" s="667"/>
      <c r="J94" s="667"/>
      <c r="K94" s="667"/>
      <c r="L94" s="667"/>
      <c r="M94" s="667"/>
      <c r="N94" s="667"/>
      <c r="O94" s="667"/>
      <c r="P94" s="667"/>
      <c r="Q94" s="667"/>
      <c r="R94" s="667"/>
      <c r="S94" s="667"/>
      <c r="T94" s="667"/>
      <c r="U94" s="667"/>
      <c r="V94" s="667"/>
      <c r="W94" s="667"/>
      <c r="X94" s="667"/>
      <c r="Y94" s="667"/>
      <c r="Z94" s="667"/>
      <c r="AA94" s="667"/>
      <c r="AB94" s="667"/>
      <c r="AC94" s="667"/>
      <c r="AD94" s="667"/>
      <c r="AE94" s="667"/>
      <c r="AF94" s="667"/>
      <c r="AG94" s="667"/>
      <c r="AH94" s="667"/>
      <c r="AI94" s="667"/>
      <c r="AJ94" s="667"/>
      <c r="AK94" s="668"/>
      <c r="AL94" s="619"/>
    </row>
    <row r="95" spans="1:38" s="620" customFormat="1" x14ac:dyDescent="0.25">
      <c r="A95" s="621"/>
      <c r="B95" s="666"/>
      <c r="G95" s="667"/>
      <c r="H95" s="667"/>
      <c r="I95" s="667"/>
      <c r="J95" s="667"/>
      <c r="K95" s="667"/>
      <c r="L95" s="667"/>
      <c r="M95" s="667"/>
      <c r="N95" s="667"/>
      <c r="O95" s="667"/>
      <c r="P95" s="667"/>
      <c r="Q95" s="667"/>
      <c r="R95" s="667"/>
      <c r="S95" s="667"/>
      <c r="T95" s="667"/>
      <c r="U95" s="667"/>
      <c r="V95" s="667"/>
      <c r="W95" s="667"/>
      <c r="X95" s="667"/>
      <c r="Y95" s="667"/>
      <c r="Z95" s="667"/>
      <c r="AA95" s="667"/>
      <c r="AB95" s="667"/>
      <c r="AC95" s="667"/>
      <c r="AD95" s="667"/>
      <c r="AE95" s="667"/>
      <c r="AF95" s="667"/>
      <c r="AG95" s="667"/>
      <c r="AH95" s="667"/>
      <c r="AI95" s="667"/>
      <c r="AJ95" s="667"/>
      <c r="AK95" s="668"/>
      <c r="AL95" s="619"/>
    </row>
    <row r="96" spans="1:38" s="620" customFormat="1" x14ac:dyDescent="0.25">
      <c r="A96" s="621"/>
      <c r="B96" s="666"/>
      <c r="G96" s="667"/>
      <c r="H96" s="667"/>
      <c r="I96" s="667"/>
      <c r="J96" s="667"/>
      <c r="K96" s="667"/>
      <c r="L96" s="667"/>
      <c r="M96" s="667"/>
      <c r="N96" s="667"/>
      <c r="O96" s="667"/>
      <c r="P96" s="667"/>
      <c r="Q96" s="667"/>
      <c r="R96" s="667"/>
      <c r="S96" s="667"/>
      <c r="T96" s="667"/>
      <c r="U96" s="667"/>
      <c r="V96" s="667"/>
      <c r="W96" s="667"/>
      <c r="X96" s="667"/>
      <c r="Y96" s="667"/>
      <c r="Z96" s="667"/>
      <c r="AA96" s="667"/>
      <c r="AB96" s="667"/>
      <c r="AC96" s="667"/>
      <c r="AD96" s="667"/>
      <c r="AE96" s="667"/>
      <c r="AF96" s="667"/>
      <c r="AG96" s="667"/>
      <c r="AH96" s="667"/>
      <c r="AI96" s="667"/>
      <c r="AJ96" s="667"/>
      <c r="AK96" s="668"/>
      <c r="AL96" s="619"/>
    </row>
    <row r="97" spans="1:38" s="620" customFormat="1" x14ac:dyDescent="0.25">
      <c r="A97" s="621"/>
      <c r="B97" s="666"/>
      <c r="G97" s="667"/>
      <c r="H97" s="667"/>
      <c r="I97" s="667"/>
      <c r="J97" s="667"/>
      <c r="K97" s="667"/>
      <c r="L97" s="667"/>
      <c r="M97" s="667"/>
      <c r="N97" s="667"/>
      <c r="O97" s="667"/>
      <c r="P97" s="667"/>
      <c r="Q97" s="667"/>
      <c r="R97" s="667"/>
      <c r="S97" s="667"/>
      <c r="T97" s="667"/>
      <c r="U97" s="667"/>
      <c r="V97" s="667"/>
      <c r="W97" s="667"/>
      <c r="X97" s="667"/>
      <c r="Y97" s="667"/>
      <c r="Z97" s="667"/>
      <c r="AA97" s="667"/>
      <c r="AB97" s="667"/>
      <c r="AC97" s="667"/>
      <c r="AD97" s="667"/>
      <c r="AE97" s="667"/>
      <c r="AF97" s="667"/>
      <c r="AG97" s="667"/>
      <c r="AH97" s="667"/>
      <c r="AI97" s="667"/>
      <c r="AJ97" s="667"/>
      <c r="AK97" s="668"/>
      <c r="AL97" s="619"/>
    </row>
    <row r="98" spans="1:38" s="620" customFormat="1" x14ac:dyDescent="0.25">
      <c r="A98" s="621"/>
      <c r="B98" s="666"/>
      <c r="G98" s="667"/>
      <c r="H98" s="667"/>
      <c r="I98" s="667"/>
      <c r="J98" s="667"/>
      <c r="K98" s="667"/>
      <c r="L98" s="667"/>
      <c r="M98" s="667"/>
      <c r="N98" s="667"/>
      <c r="O98" s="667"/>
      <c r="P98" s="667"/>
      <c r="Q98" s="667"/>
      <c r="R98" s="667"/>
      <c r="S98" s="667"/>
      <c r="T98" s="667"/>
      <c r="U98" s="667"/>
      <c r="V98" s="667"/>
      <c r="W98" s="667"/>
      <c r="X98" s="667"/>
      <c r="Y98" s="667"/>
      <c r="Z98" s="667"/>
      <c r="AA98" s="667"/>
      <c r="AB98" s="667"/>
      <c r="AC98" s="667"/>
      <c r="AD98" s="667"/>
      <c r="AE98" s="667"/>
      <c r="AF98" s="667"/>
      <c r="AG98" s="667"/>
      <c r="AH98" s="667"/>
      <c r="AI98" s="667"/>
      <c r="AJ98" s="667"/>
      <c r="AK98" s="668"/>
      <c r="AL98" s="619"/>
    </row>
    <row r="99" spans="1:38" s="620" customFormat="1" x14ac:dyDescent="0.25">
      <c r="A99" s="621"/>
      <c r="B99" s="666"/>
      <c r="G99" s="667"/>
      <c r="H99" s="667"/>
      <c r="I99" s="667"/>
      <c r="J99" s="667"/>
      <c r="K99" s="667"/>
      <c r="L99" s="667"/>
      <c r="M99" s="667"/>
      <c r="N99" s="667"/>
      <c r="O99" s="667"/>
      <c r="P99" s="667"/>
      <c r="Q99" s="667"/>
      <c r="R99" s="667"/>
      <c r="S99" s="667"/>
      <c r="T99" s="667"/>
      <c r="U99" s="667"/>
      <c r="V99" s="667"/>
      <c r="W99" s="667"/>
      <c r="X99" s="667"/>
      <c r="Y99" s="667"/>
      <c r="Z99" s="667"/>
      <c r="AA99" s="667"/>
      <c r="AB99" s="667"/>
      <c r="AC99" s="667"/>
      <c r="AD99" s="667"/>
      <c r="AE99" s="667"/>
      <c r="AF99" s="667"/>
      <c r="AG99" s="667"/>
      <c r="AH99" s="667"/>
      <c r="AI99" s="667"/>
      <c r="AJ99" s="667"/>
      <c r="AK99" s="668"/>
      <c r="AL99" s="619"/>
    </row>
    <row r="100" spans="1:38" s="620" customFormat="1" x14ac:dyDescent="0.25">
      <c r="A100" s="621"/>
      <c r="B100" s="666"/>
      <c r="G100" s="667"/>
      <c r="H100" s="667"/>
      <c r="I100" s="667"/>
      <c r="J100" s="667"/>
      <c r="K100" s="667"/>
      <c r="L100" s="667"/>
      <c r="M100" s="667"/>
      <c r="N100" s="667"/>
      <c r="O100" s="667"/>
      <c r="P100" s="667"/>
      <c r="Q100" s="667"/>
      <c r="R100" s="667"/>
      <c r="S100" s="667"/>
      <c r="T100" s="667"/>
      <c r="U100" s="667"/>
      <c r="V100" s="667"/>
      <c r="W100" s="667"/>
      <c r="X100" s="667"/>
      <c r="Y100" s="667"/>
      <c r="Z100" s="667"/>
      <c r="AA100" s="667"/>
      <c r="AB100" s="667"/>
      <c r="AC100" s="667"/>
      <c r="AD100" s="667"/>
      <c r="AE100" s="667"/>
      <c r="AF100" s="667"/>
      <c r="AG100" s="667"/>
      <c r="AH100" s="667"/>
      <c r="AI100" s="667"/>
      <c r="AJ100" s="667"/>
      <c r="AK100" s="668"/>
      <c r="AL100" s="619"/>
    </row>
    <row r="101" spans="1:38" s="620" customFormat="1" x14ac:dyDescent="0.25">
      <c r="A101" s="621"/>
      <c r="B101" s="666"/>
      <c r="G101" s="667"/>
      <c r="H101" s="667"/>
      <c r="I101" s="667"/>
      <c r="J101" s="667"/>
      <c r="K101" s="667"/>
      <c r="L101" s="667"/>
      <c r="M101" s="667"/>
      <c r="N101" s="667"/>
      <c r="O101" s="667"/>
      <c r="P101" s="667"/>
      <c r="Q101" s="667"/>
      <c r="R101" s="667"/>
      <c r="S101" s="667"/>
      <c r="T101" s="667"/>
      <c r="U101" s="667"/>
      <c r="V101" s="667"/>
      <c r="W101" s="667"/>
      <c r="X101" s="667"/>
      <c r="Y101" s="667"/>
      <c r="Z101" s="667"/>
      <c r="AA101" s="667"/>
      <c r="AB101" s="667"/>
      <c r="AC101" s="667"/>
      <c r="AD101" s="667"/>
      <c r="AE101" s="667"/>
      <c r="AF101" s="667"/>
      <c r="AG101" s="667"/>
      <c r="AH101" s="667"/>
      <c r="AI101" s="667"/>
      <c r="AJ101" s="667"/>
      <c r="AK101" s="668"/>
      <c r="AL101" s="619"/>
    </row>
    <row r="102" spans="1:38" s="620" customFormat="1" x14ac:dyDescent="0.25">
      <c r="A102" s="621"/>
      <c r="B102" s="666"/>
      <c r="G102" s="667"/>
      <c r="H102" s="667"/>
      <c r="I102" s="667"/>
      <c r="J102" s="667"/>
      <c r="K102" s="667"/>
      <c r="L102" s="667"/>
      <c r="M102" s="667"/>
      <c r="N102" s="667"/>
      <c r="O102" s="667"/>
      <c r="P102" s="667"/>
      <c r="Q102" s="667"/>
      <c r="R102" s="667"/>
      <c r="S102" s="667"/>
      <c r="T102" s="667"/>
      <c r="U102" s="667"/>
      <c r="V102" s="667"/>
      <c r="W102" s="667"/>
      <c r="X102" s="667"/>
      <c r="Y102" s="667"/>
      <c r="Z102" s="667"/>
      <c r="AA102" s="667"/>
      <c r="AB102" s="667"/>
      <c r="AC102" s="667"/>
      <c r="AD102" s="667"/>
      <c r="AE102" s="667"/>
      <c r="AF102" s="667"/>
      <c r="AG102" s="667"/>
      <c r="AH102" s="667"/>
      <c r="AI102" s="667"/>
      <c r="AJ102" s="667"/>
      <c r="AK102" s="668"/>
      <c r="AL102" s="619"/>
    </row>
    <row r="103" spans="1:38" s="620" customFormat="1" x14ac:dyDescent="0.25">
      <c r="A103" s="621"/>
      <c r="B103" s="666"/>
      <c r="G103" s="667"/>
      <c r="H103" s="667"/>
      <c r="I103" s="667"/>
      <c r="J103" s="667"/>
      <c r="K103" s="667"/>
      <c r="L103" s="667"/>
      <c r="M103" s="667"/>
      <c r="N103" s="667"/>
      <c r="O103" s="667"/>
      <c r="P103" s="667"/>
      <c r="Q103" s="667"/>
      <c r="R103" s="667"/>
      <c r="S103" s="667"/>
      <c r="T103" s="667"/>
      <c r="U103" s="667"/>
      <c r="V103" s="667"/>
      <c r="W103" s="667"/>
      <c r="X103" s="667"/>
      <c r="Y103" s="667"/>
      <c r="Z103" s="667"/>
      <c r="AA103" s="667"/>
      <c r="AB103" s="667"/>
      <c r="AC103" s="667"/>
      <c r="AD103" s="667"/>
      <c r="AE103" s="667"/>
      <c r="AF103" s="667"/>
      <c r="AG103" s="667"/>
      <c r="AH103" s="667"/>
      <c r="AI103" s="667"/>
      <c r="AJ103" s="667"/>
      <c r="AK103" s="668"/>
      <c r="AL103" s="619"/>
    </row>
    <row r="104" spans="1:38" s="620" customFormat="1" x14ac:dyDescent="0.25">
      <c r="A104" s="621"/>
      <c r="B104" s="666"/>
      <c r="G104" s="667"/>
      <c r="H104" s="667"/>
      <c r="I104" s="667"/>
      <c r="J104" s="667"/>
      <c r="K104" s="667"/>
      <c r="L104" s="667"/>
      <c r="M104" s="667"/>
      <c r="N104" s="667"/>
      <c r="O104" s="667"/>
      <c r="P104" s="667"/>
      <c r="Q104" s="667"/>
      <c r="R104" s="667"/>
      <c r="S104" s="667"/>
      <c r="T104" s="667"/>
      <c r="U104" s="667"/>
      <c r="V104" s="667"/>
      <c r="W104" s="667"/>
      <c r="X104" s="667"/>
      <c r="Y104" s="667"/>
      <c r="Z104" s="667"/>
      <c r="AA104" s="667"/>
      <c r="AB104" s="667"/>
      <c r="AC104" s="667"/>
      <c r="AD104" s="667"/>
      <c r="AE104" s="667"/>
      <c r="AF104" s="667"/>
      <c r="AG104" s="667"/>
      <c r="AH104" s="667"/>
      <c r="AI104" s="667"/>
      <c r="AJ104" s="667"/>
      <c r="AK104" s="668"/>
      <c r="AL104" s="619"/>
    </row>
    <row r="105" spans="1:38" s="620" customFormat="1" x14ac:dyDescent="0.25">
      <c r="A105" s="621"/>
      <c r="B105" s="666"/>
      <c r="G105" s="667"/>
      <c r="H105" s="667"/>
      <c r="I105" s="667"/>
      <c r="J105" s="667"/>
      <c r="K105" s="667"/>
      <c r="L105" s="667"/>
      <c r="M105" s="667"/>
      <c r="N105" s="667"/>
      <c r="O105" s="667"/>
      <c r="P105" s="667"/>
      <c r="Q105" s="667"/>
      <c r="R105" s="667"/>
      <c r="S105" s="667"/>
      <c r="T105" s="667"/>
      <c r="U105" s="667"/>
      <c r="V105" s="667"/>
      <c r="W105" s="667"/>
      <c r="X105" s="667"/>
      <c r="Y105" s="667"/>
      <c r="Z105" s="667"/>
      <c r="AA105" s="667"/>
      <c r="AB105" s="667"/>
      <c r="AC105" s="667"/>
      <c r="AD105" s="667"/>
      <c r="AE105" s="667"/>
      <c r="AF105" s="667"/>
      <c r="AG105" s="667"/>
      <c r="AH105" s="667"/>
      <c r="AI105" s="667"/>
      <c r="AJ105" s="667"/>
      <c r="AK105" s="668"/>
      <c r="AL105" s="619"/>
    </row>
    <row r="106" spans="1:38" s="620" customFormat="1" x14ac:dyDescent="0.25">
      <c r="A106" s="621"/>
      <c r="B106" s="666"/>
      <c r="G106" s="667"/>
      <c r="H106" s="667"/>
      <c r="I106" s="667"/>
      <c r="J106" s="667"/>
      <c r="K106" s="667"/>
      <c r="L106" s="667"/>
      <c r="M106" s="667"/>
      <c r="N106" s="667"/>
      <c r="O106" s="667"/>
      <c r="P106" s="667"/>
      <c r="Q106" s="667"/>
      <c r="R106" s="667"/>
      <c r="S106" s="667"/>
      <c r="T106" s="667"/>
      <c r="U106" s="667"/>
      <c r="V106" s="667"/>
      <c r="W106" s="667"/>
      <c r="X106" s="667"/>
      <c r="Y106" s="667"/>
      <c r="Z106" s="667"/>
      <c r="AA106" s="667"/>
      <c r="AB106" s="667"/>
      <c r="AC106" s="667"/>
      <c r="AD106" s="667"/>
      <c r="AE106" s="667"/>
      <c r="AF106" s="667"/>
      <c r="AG106" s="667"/>
      <c r="AH106" s="667"/>
      <c r="AI106" s="667"/>
      <c r="AJ106" s="667"/>
      <c r="AK106" s="668"/>
      <c r="AL106" s="619"/>
    </row>
    <row r="107" spans="1:38" s="620" customFormat="1" x14ac:dyDescent="0.25">
      <c r="A107" s="621"/>
      <c r="B107" s="666"/>
      <c r="G107" s="667"/>
      <c r="H107" s="667"/>
      <c r="I107" s="667"/>
      <c r="J107" s="667"/>
      <c r="K107" s="667"/>
      <c r="L107" s="667"/>
      <c r="M107" s="667"/>
      <c r="N107" s="667"/>
      <c r="O107" s="667"/>
      <c r="P107" s="667"/>
      <c r="Q107" s="667"/>
      <c r="R107" s="667"/>
      <c r="S107" s="667"/>
      <c r="T107" s="667"/>
      <c r="U107" s="667"/>
      <c r="V107" s="667"/>
      <c r="W107" s="667"/>
      <c r="X107" s="667"/>
      <c r="Y107" s="667"/>
      <c r="Z107" s="667"/>
      <c r="AA107" s="667"/>
      <c r="AB107" s="667"/>
      <c r="AC107" s="667"/>
      <c r="AD107" s="667"/>
      <c r="AE107" s="667"/>
      <c r="AF107" s="667"/>
      <c r="AG107" s="667"/>
      <c r="AH107" s="667"/>
      <c r="AI107" s="667"/>
      <c r="AJ107" s="667"/>
      <c r="AK107" s="668"/>
      <c r="AL107" s="619"/>
    </row>
    <row r="108" spans="1:38" s="620" customFormat="1" x14ac:dyDescent="0.25">
      <c r="A108" s="621"/>
      <c r="B108" s="666"/>
      <c r="G108" s="667"/>
      <c r="H108" s="667"/>
      <c r="I108" s="667"/>
      <c r="J108" s="667"/>
      <c r="K108" s="667"/>
      <c r="L108" s="667"/>
      <c r="M108" s="667"/>
      <c r="N108" s="667"/>
      <c r="O108" s="667"/>
      <c r="P108" s="667"/>
      <c r="Q108" s="667"/>
      <c r="R108" s="667"/>
      <c r="S108" s="667"/>
      <c r="T108" s="667"/>
      <c r="U108" s="667"/>
      <c r="V108" s="667"/>
      <c r="W108" s="667"/>
      <c r="X108" s="667"/>
      <c r="Y108" s="667"/>
      <c r="Z108" s="667"/>
      <c r="AA108" s="667"/>
      <c r="AB108" s="667"/>
      <c r="AC108" s="667"/>
      <c r="AD108" s="667"/>
      <c r="AE108" s="667"/>
      <c r="AF108" s="667"/>
      <c r="AG108" s="667"/>
      <c r="AH108" s="667"/>
      <c r="AI108" s="667"/>
      <c r="AJ108" s="667"/>
      <c r="AK108" s="668"/>
      <c r="AL108" s="619"/>
    </row>
    <row r="109" spans="1:38" s="620" customFormat="1" x14ac:dyDescent="0.25">
      <c r="A109" s="621"/>
      <c r="B109" s="666"/>
      <c r="G109" s="667"/>
      <c r="H109" s="667"/>
      <c r="I109" s="667"/>
      <c r="J109" s="667"/>
      <c r="K109" s="667"/>
      <c r="L109" s="667"/>
      <c r="M109" s="667"/>
      <c r="N109" s="667"/>
      <c r="O109" s="667"/>
      <c r="P109" s="667"/>
      <c r="Q109" s="667"/>
      <c r="R109" s="667"/>
      <c r="S109" s="667"/>
      <c r="T109" s="667"/>
      <c r="U109" s="667"/>
      <c r="V109" s="667"/>
      <c r="W109" s="667"/>
      <c r="X109" s="667"/>
      <c r="Y109" s="667"/>
      <c r="Z109" s="667"/>
      <c r="AA109" s="667"/>
      <c r="AB109" s="667"/>
      <c r="AC109" s="667"/>
      <c r="AD109" s="667"/>
      <c r="AE109" s="667"/>
      <c r="AF109" s="667"/>
      <c r="AG109" s="667"/>
      <c r="AH109" s="667"/>
      <c r="AI109" s="667"/>
      <c r="AJ109" s="667"/>
      <c r="AK109" s="668"/>
      <c r="AL109" s="619"/>
    </row>
    <row r="110" spans="1:38" s="620" customFormat="1" x14ac:dyDescent="0.25">
      <c r="A110" s="621"/>
      <c r="B110" s="666"/>
      <c r="G110" s="667"/>
      <c r="H110" s="667"/>
      <c r="I110" s="667"/>
      <c r="J110" s="667"/>
      <c r="K110" s="667"/>
      <c r="L110" s="667"/>
      <c r="M110" s="667"/>
      <c r="N110" s="667"/>
      <c r="O110" s="667"/>
      <c r="P110" s="667"/>
      <c r="Q110" s="667"/>
      <c r="R110" s="667"/>
      <c r="S110" s="667"/>
      <c r="T110" s="667"/>
      <c r="U110" s="667"/>
      <c r="V110" s="667"/>
      <c r="W110" s="667"/>
      <c r="X110" s="667"/>
      <c r="Y110" s="667"/>
      <c r="Z110" s="667"/>
      <c r="AA110" s="667"/>
      <c r="AB110" s="667"/>
      <c r="AC110" s="667"/>
      <c r="AD110" s="667"/>
      <c r="AE110" s="667"/>
      <c r="AF110" s="667"/>
      <c r="AG110" s="667"/>
      <c r="AH110" s="667"/>
      <c r="AI110" s="667"/>
      <c r="AJ110" s="667"/>
      <c r="AK110" s="668"/>
      <c r="AL110" s="619"/>
    </row>
    <row r="111" spans="1:38" s="620" customFormat="1" x14ac:dyDescent="0.25">
      <c r="A111" s="621"/>
      <c r="B111" s="666"/>
      <c r="G111" s="667"/>
      <c r="H111" s="667"/>
      <c r="I111" s="667"/>
      <c r="J111" s="667"/>
      <c r="K111" s="667"/>
      <c r="L111" s="667"/>
      <c r="M111" s="667"/>
      <c r="N111" s="667"/>
      <c r="O111" s="667"/>
      <c r="P111" s="667"/>
      <c r="Q111" s="667"/>
      <c r="R111" s="667"/>
      <c r="S111" s="667"/>
      <c r="T111" s="667"/>
      <c r="U111" s="667"/>
      <c r="V111" s="667"/>
      <c r="W111" s="667"/>
      <c r="X111" s="667"/>
      <c r="Y111" s="667"/>
      <c r="Z111" s="667"/>
      <c r="AA111" s="667"/>
      <c r="AB111" s="667"/>
      <c r="AC111" s="667"/>
      <c r="AD111" s="667"/>
      <c r="AE111" s="667"/>
      <c r="AF111" s="667"/>
      <c r="AG111" s="667"/>
      <c r="AH111" s="667"/>
      <c r="AI111" s="667"/>
      <c r="AJ111" s="667"/>
      <c r="AK111" s="668"/>
      <c r="AL111" s="619"/>
    </row>
    <row r="112" spans="1:38" s="620" customFormat="1" x14ac:dyDescent="0.25">
      <c r="A112" s="621"/>
      <c r="B112" s="666"/>
      <c r="G112" s="667"/>
      <c r="H112" s="667"/>
      <c r="I112" s="667"/>
      <c r="J112" s="667"/>
      <c r="K112" s="667"/>
      <c r="L112" s="667"/>
      <c r="M112" s="667"/>
      <c r="N112" s="667"/>
      <c r="O112" s="667"/>
      <c r="P112" s="667"/>
      <c r="Q112" s="667"/>
      <c r="R112" s="667"/>
      <c r="S112" s="667"/>
      <c r="T112" s="667"/>
      <c r="U112" s="667"/>
      <c r="V112" s="667"/>
      <c r="W112" s="667"/>
      <c r="X112" s="667"/>
      <c r="Y112" s="667"/>
      <c r="Z112" s="667"/>
      <c r="AA112" s="667"/>
      <c r="AB112" s="667"/>
      <c r="AC112" s="667"/>
      <c r="AD112" s="667"/>
      <c r="AE112" s="667"/>
      <c r="AF112" s="667"/>
      <c r="AG112" s="667"/>
      <c r="AH112" s="667"/>
      <c r="AI112" s="667"/>
      <c r="AJ112" s="667"/>
      <c r="AK112" s="668"/>
      <c r="AL112" s="619"/>
    </row>
    <row r="113" spans="1:38" s="620" customFormat="1" x14ac:dyDescent="0.25">
      <c r="A113" s="621"/>
      <c r="B113" s="666"/>
      <c r="G113" s="667"/>
      <c r="H113" s="667"/>
      <c r="I113" s="667"/>
      <c r="J113" s="667"/>
      <c r="K113" s="667"/>
      <c r="L113" s="667"/>
      <c r="M113" s="667"/>
      <c r="N113" s="667"/>
      <c r="O113" s="667"/>
      <c r="P113" s="667"/>
      <c r="Q113" s="667"/>
      <c r="R113" s="667"/>
      <c r="S113" s="667"/>
      <c r="T113" s="667"/>
      <c r="U113" s="667"/>
      <c r="V113" s="667"/>
      <c r="W113" s="667"/>
      <c r="X113" s="667"/>
      <c r="Y113" s="667"/>
      <c r="Z113" s="667"/>
      <c r="AA113" s="667"/>
      <c r="AB113" s="667"/>
      <c r="AC113" s="667"/>
      <c r="AD113" s="667"/>
      <c r="AE113" s="667"/>
      <c r="AF113" s="667"/>
      <c r="AG113" s="667"/>
      <c r="AH113" s="667"/>
      <c r="AI113" s="667"/>
      <c r="AJ113" s="667"/>
      <c r="AK113" s="668"/>
      <c r="AL113" s="619"/>
    </row>
    <row r="114" spans="1:38" s="620" customFormat="1" x14ac:dyDescent="0.25">
      <c r="A114" s="621"/>
      <c r="B114" s="666"/>
      <c r="G114" s="667"/>
      <c r="H114" s="667"/>
      <c r="I114" s="667"/>
      <c r="J114" s="667"/>
      <c r="K114" s="667"/>
      <c r="L114" s="667"/>
      <c r="M114" s="667"/>
      <c r="N114" s="667"/>
      <c r="O114" s="667"/>
      <c r="P114" s="667"/>
      <c r="Q114" s="667"/>
      <c r="R114" s="667"/>
      <c r="S114" s="667"/>
      <c r="T114" s="667"/>
      <c r="U114" s="667"/>
      <c r="V114" s="667"/>
      <c r="W114" s="667"/>
      <c r="X114" s="667"/>
      <c r="Y114" s="667"/>
      <c r="Z114" s="667"/>
      <c r="AA114" s="667"/>
      <c r="AB114" s="667"/>
      <c r="AC114" s="667"/>
      <c r="AD114" s="667"/>
      <c r="AE114" s="667"/>
      <c r="AF114" s="667"/>
      <c r="AG114" s="667"/>
      <c r="AH114" s="667"/>
      <c r="AI114" s="667"/>
      <c r="AJ114" s="667"/>
      <c r="AK114" s="668"/>
      <c r="AL114" s="619"/>
    </row>
    <row r="115" spans="1:38" s="620" customFormat="1" x14ac:dyDescent="0.25">
      <c r="A115" s="621"/>
      <c r="B115" s="666"/>
      <c r="G115" s="667"/>
      <c r="H115" s="667"/>
      <c r="I115" s="667"/>
      <c r="J115" s="667"/>
      <c r="K115" s="667"/>
      <c r="L115" s="667"/>
      <c r="M115" s="667"/>
      <c r="N115" s="667"/>
      <c r="O115" s="667"/>
      <c r="P115" s="667"/>
      <c r="Q115" s="667"/>
      <c r="R115" s="667"/>
      <c r="S115" s="667"/>
      <c r="T115" s="667"/>
      <c r="U115" s="667"/>
      <c r="V115" s="667"/>
      <c r="W115" s="667"/>
      <c r="X115" s="667"/>
      <c r="Y115" s="667"/>
      <c r="Z115" s="667"/>
      <c r="AA115" s="667"/>
      <c r="AB115" s="667"/>
      <c r="AC115" s="667"/>
      <c r="AD115" s="667"/>
      <c r="AE115" s="667"/>
      <c r="AF115" s="667"/>
      <c r="AG115" s="667"/>
      <c r="AH115" s="667"/>
      <c r="AI115" s="667"/>
      <c r="AJ115" s="667"/>
      <c r="AK115" s="668"/>
      <c r="AL115" s="619"/>
    </row>
    <row r="116" spans="1:38" s="620" customFormat="1" x14ac:dyDescent="0.25">
      <c r="A116" s="621"/>
      <c r="B116" s="666"/>
      <c r="G116" s="667"/>
      <c r="H116" s="667"/>
      <c r="I116" s="667"/>
      <c r="J116" s="667"/>
      <c r="K116" s="667"/>
      <c r="L116" s="667"/>
      <c r="M116" s="667"/>
      <c r="N116" s="667"/>
      <c r="O116" s="667"/>
      <c r="P116" s="667"/>
      <c r="Q116" s="667"/>
      <c r="R116" s="667"/>
      <c r="S116" s="667"/>
      <c r="T116" s="667"/>
      <c r="U116" s="667"/>
      <c r="V116" s="667"/>
      <c r="W116" s="667"/>
      <c r="X116" s="667"/>
      <c r="Y116" s="667"/>
      <c r="Z116" s="667"/>
      <c r="AA116" s="667"/>
      <c r="AB116" s="667"/>
      <c r="AC116" s="667"/>
      <c r="AD116" s="667"/>
      <c r="AE116" s="667"/>
      <c r="AF116" s="667"/>
      <c r="AG116" s="667"/>
      <c r="AH116" s="667"/>
      <c r="AI116" s="667"/>
      <c r="AJ116" s="667"/>
      <c r="AK116" s="668"/>
      <c r="AL116" s="619"/>
    </row>
    <row r="117" spans="1:38" s="620" customFormat="1" x14ac:dyDescent="0.25">
      <c r="A117" s="621"/>
      <c r="B117" s="666"/>
      <c r="G117" s="667"/>
      <c r="H117" s="667"/>
      <c r="I117" s="667"/>
      <c r="J117" s="667"/>
      <c r="K117" s="667"/>
      <c r="L117" s="667"/>
      <c r="M117" s="667"/>
      <c r="N117" s="667"/>
      <c r="O117" s="667"/>
      <c r="P117" s="667"/>
      <c r="Q117" s="667"/>
      <c r="R117" s="667"/>
      <c r="S117" s="667"/>
      <c r="T117" s="667"/>
      <c r="U117" s="667"/>
      <c r="V117" s="667"/>
      <c r="W117" s="667"/>
      <c r="X117" s="667"/>
      <c r="Y117" s="667"/>
      <c r="Z117" s="667"/>
      <c r="AA117" s="667"/>
      <c r="AB117" s="667"/>
      <c r="AC117" s="667"/>
      <c r="AD117" s="667"/>
      <c r="AE117" s="667"/>
      <c r="AF117" s="667"/>
      <c r="AG117" s="667"/>
      <c r="AH117" s="667"/>
      <c r="AI117" s="667"/>
      <c r="AJ117" s="667"/>
      <c r="AK117" s="668"/>
      <c r="AL117" s="619"/>
    </row>
    <row r="118" spans="1:38" s="620" customFormat="1" x14ac:dyDescent="0.25">
      <c r="A118" s="621"/>
      <c r="B118" s="666"/>
      <c r="G118" s="667"/>
      <c r="H118" s="667"/>
      <c r="I118" s="667"/>
      <c r="J118" s="667"/>
      <c r="K118" s="667"/>
      <c r="L118" s="667"/>
      <c r="M118" s="667"/>
      <c r="N118" s="667"/>
      <c r="O118" s="667"/>
      <c r="P118" s="667"/>
      <c r="Q118" s="667"/>
      <c r="R118" s="667"/>
      <c r="S118" s="667"/>
      <c r="T118" s="667"/>
      <c r="U118" s="667"/>
      <c r="V118" s="667"/>
      <c r="W118" s="667"/>
      <c r="X118" s="667"/>
      <c r="Y118" s="667"/>
      <c r="Z118" s="667"/>
      <c r="AA118" s="667"/>
      <c r="AB118" s="667"/>
      <c r="AC118" s="667"/>
      <c r="AD118" s="667"/>
      <c r="AE118" s="667"/>
      <c r="AF118" s="667"/>
      <c r="AG118" s="667"/>
      <c r="AH118" s="667"/>
      <c r="AI118" s="667"/>
      <c r="AJ118" s="667"/>
      <c r="AK118" s="668"/>
      <c r="AL118" s="619"/>
    </row>
    <row r="119" spans="1:38" s="620" customFormat="1" x14ac:dyDescent="0.25">
      <c r="A119" s="621"/>
      <c r="B119" s="666"/>
      <c r="G119" s="667"/>
      <c r="H119" s="667"/>
      <c r="I119" s="667"/>
      <c r="J119" s="667"/>
      <c r="K119" s="667"/>
      <c r="L119" s="667"/>
      <c r="M119" s="667"/>
      <c r="N119" s="667"/>
      <c r="O119" s="667"/>
      <c r="P119" s="667"/>
      <c r="Q119" s="667"/>
      <c r="R119" s="667"/>
      <c r="S119" s="667"/>
      <c r="T119" s="667"/>
      <c r="U119" s="667"/>
      <c r="V119" s="667"/>
      <c r="W119" s="667"/>
      <c r="X119" s="667"/>
      <c r="Y119" s="667"/>
      <c r="Z119" s="667"/>
      <c r="AA119" s="667"/>
      <c r="AB119" s="667"/>
      <c r="AC119" s="667"/>
      <c r="AD119" s="667"/>
      <c r="AE119" s="667"/>
      <c r="AF119" s="667"/>
      <c r="AG119" s="667"/>
      <c r="AH119" s="667"/>
      <c r="AI119" s="667"/>
      <c r="AJ119" s="667"/>
      <c r="AK119" s="668"/>
      <c r="AL119" s="619"/>
    </row>
    <row r="120" spans="1:38" s="620" customFormat="1" x14ac:dyDescent="0.25">
      <c r="A120" s="621"/>
      <c r="B120" s="666"/>
      <c r="G120" s="667"/>
      <c r="H120" s="667"/>
      <c r="I120" s="667"/>
      <c r="J120" s="667"/>
      <c r="K120" s="667"/>
      <c r="L120" s="667"/>
      <c r="M120" s="667"/>
      <c r="N120" s="667"/>
      <c r="O120" s="667"/>
      <c r="P120" s="667"/>
      <c r="Q120" s="667"/>
      <c r="R120" s="667"/>
      <c r="S120" s="667"/>
      <c r="T120" s="667"/>
      <c r="U120" s="667"/>
      <c r="V120" s="667"/>
      <c r="W120" s="667"/>
      <c r="X120" s="667"/>
      <c r="Y120" s="667"/>
      <c r="Z120" s="667"/>
      <c r="AA120" s="667"/>
      <c r="AB120" s="667"/>
      <c r="AC120" s="667"/>
      <c r="AD120" s="667"/>
      <c r="AE120" s="667"/>
      <c r="AF120" s="667"/>
      <c r="AG120" s="667"/>
      <c r="AH120" s="667"/>
      <c r="AI120" s="667"/>
      <c r="AJ120" s="667"/>
      <c r="AK120" s="668"/>
      <c r="AL120" s="619"/>
    </row>
    <row r="121" spans="1:38" s="620" customFormat="1" x14ac:dyDescent="0.25">
      <c r="A121" s="621"/>
      <c r="B121" s="666"/>
      <c r="G121" s="667"/>
      <c r="H121" s="667"/>
      <c r="I121" s="667"/>
      <c r="J121" s="667"/>
      <c r="K121" s="667"/>
      <c r="L121" s="667"/>
      <c r="M121" s="667"/>
      <c r="N121" s="667"/>
      <c r="O121" s="667"/>
      <c r="P121" s="667"/>
      <c r="Q121" s="667"/>
      <c r="R121" s="667"/>
      <c r="S121" s="667"/>
      <c r="T121" s="667"/>
      <c r="U121" s="667"/>
      <c r="V121" s="667"/>
      <c r="W121" s="667"/>
      <c r="X121" s="667"/>
      <c r="Y121" s="667"/>
      <c r="Z121" s="667"/>
      <c r="AA121" s="667"/>
      <c r="AB121" s="667"/>
      <c r="AC121" s="667"/>
      <c r="AD121" s="667"/>
      <c r="AE121" s="667"/>
      <c r="AF121" s="667"/>
      <c r="AG121" s="667"/>
      <c r="AH121" s="667"/>
      <c r="AI121" s="667"/>
      <c r="AJ121" s="667"/>
      <c r="AK121" s="668"/>
      <c r="AL121" s="619"/>
    </row>
  </sheetData>
  <mergeCells count="57">
    <mergeCell ref="C16:F16"/>
    <mergeCell ref="C17:F17"/>
    <mergeCell ref="C10:F10"/>
    <mergeCell ref="C28:F28"/>
    <mergeCell ref="C29:F29"/>
    <mergeCell ref="C11:F11"/>
    <mergeCell ref="C12:F12"/>
    <mergeCell ref="C18:F18"/>
    <mergeCell ref="C19:F19"/>
    <mergeCell ref="C14:F14"/>
    <mergeCell ref="C13:F13"/>
    <mergeCell ref="C15:F15"/>
    <mergeCell ref="C30:F30"/>
    <mergeCell ref="C31:F31"/>
    <mergeCell ref="C20:F20"/>
    <mergeCell ref="C32:F32"/>
    <mergeCell ref="Y34:AJ34"/>
    <mergeCell ref="C33:F33"/>
    <mergeCell ref="B34:F34"/>
    <mergeCell ref="C27:F27"/>
    <mergeCell ref="C26:F26"/>
    <mergeCell ref="C21:F21"/>
    <mergeCell ref="C24:F24"/>
    <mergeCell ref="C25:F25"/>
    <mergeCell ref="C23:F23"/>
    <mergeCell ref="C22:F22"/>
    <mergeCell ref="Y38:AJ38"/>
    <mergeCell ref="G34:X34"/>
    <mergeCell ref="G35:X35"/>
    <mergeCell ref="G36:R36"/>
    <mergeCell ref="S36:X36"/>
    <mergeCell ref="Y36:AJ36"/>
    <mergeCell ref="Y35:AJ35"/>
    <mergeCell ref="Y37:AJ37"/>
    <mergeCell ref="B35:F35"/>
    <mergeCell ref="S39:X39"/>
    <mergeCell ref="B37:F37"/>
    <mergeCell ref="G37:R37"/>
    <mergeCell ref="S37:X37"/>
    <mergeCell ref="G38:R38"/>
    <mergeCell ref="S38:X38"/>
    <mergeCell ref="Y39:AJ39"/>
    <mergeCell ref="B39:F39"/>
    <mergeCell ref="G39:R39"/>
    <mergeCell ref="B38:F38"/>
    <mergeCell ref="P1:R1"/>
    <mergeCell ref="B2:AK2"/>
    <mergeCell ref="B3:AK3"/>
    <mergeCell ref="B4:AK4"/>
    <mergeCell ref="B6:B7"/>
    <mergeCell ref="C6:F7"/>
    <mergeCell ref="G6:R6"/>
    <mergeCell ref="Y6:AJ6"/>
    <mergeCell ref="S6:X6"/>
    <mergeCell ref="C8:F8"/>
    <mergeCell ref="C9:F9"/>
    <mergeCell ref="B36:F36"/>
  </mergeCells>
  <pageMargins left="0.23622047244094491" right="0.23622047244094491" top="0.74803149606299213" bottom="0.74803149606299213" header="0.31496062992125984" footer="0.31496062992125984"/>
  <pageSetup paperSize="66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  <pageSetUpPr fitToPage="1"/>
  </sheetPr>
  <dimension ref="A1:R289"/>
  <sheetViews>
    <sheetView view="pageBreakPreview" zoomScale="80" zoomScaleNormal="70" zoomScaleSheetLayoutView="80" workbookViewId="0">
      <selection activeCell="J12" sqref="J12"/>
    </sheetView>
  </sheetViews>
  <sheetFormatPr defaultColWidth="10.7109375" defaultRowHeight="12.75" x14ac:dyDescent="0.25"/>
  <cols>
    <col min="1" max="1" width="7.85546875" style="360" customWidth="1"/>
    <col min="2" max="2" width="25.7109375" style="373" customWidth="1"/>
    <col min="3" max="3" width="8.42578125" style="374" customWidth="1"/>
    <col min="4" max="4" width="8.42578125" style="774" hidden="1" customWidth="1"/>
    <col min="5" max="6" width="12.7109375" style="375" customWidth="1"/>
    <col min="7" max="7" width="31.85546875" style="360" hidden="1" customWidth="1"/>
    <col min="8" max="8" width="50.7109375" style="360" customWidth="1"/>
    <col min="9" max="9" width="33.28515625" style="360" hidden="1" customWidth="1"/>
    <col min="10" max="10" width="11.28515625" style="360" customWidth="1"/>
    <col min="11" max="12" width="10.7109375" style="360"/>
    <col min="13" max="13" width="13.5703125" style="360" bestFit="1" customWidth="1"/>
    <col min="14" max="257" width="10.7109375" style="360"/>
    <col min="258" max="258" width="13.140625" style="360" customWidth="1"/>
    <col min="259" max="259" width="38" style="360" customWidth="1"/>
    <col min="260" max="260" width="8.42578125" style="360" customWidth="1"/>
    <col min="261" max="261" width="15.7109375" style="360" customWidth="1"/>
    <col min="262" max="262" width="18.28515625" style="360" customWidth="1"/>
    <col min="263" max="263" width="17.85546875" style="360" customWidth="1"/>
    <col min="264" max="264" width="0" style="360" hidden="1" customWidth="1"/>
    <col min="265" max="265" width="33.28515625" style="360" customWidth="1"/>
    <col min="266" max="513" width="10.7109375" style="360"/>
    <col min="514" max="514" width="13.140625" style="360" customWidth="1"/>
    <col min="515" max="515" width="38" style="360" customWidth="1"/>
    <col min="516" max="516" width="8.42578125" style="360" customWidth="1"/>
    <col min="517" max="517" width="15.7109375" style="360" customWidth="1"/>
    <col min="518" max="518" width="18.28515625" style="360" customWidth="1"/>
    <col min="519" max="519" width="17.85546875" style="360" customWidth="1"/>
    <col min="520" max="520" width="0" style="360" hidden="1" customWidth="1"/>
    <col min="521" max="521" width="33.28515625" style="360" customWidth="1"/>
    <col min="522" max="769" width="10.7109375" style="360"/>
    <col min="770" max="770" width="13.140625" style="360" customWidth="1"/>
    <col min="771" max="771" width="38" style="360" customWidth="1"/>
    <col min="772" max="772" width="8.42578125" style="360" customWidth="1"/>
    <col min="773" max="773" width="15.7109375" style="360" customWidth="1"/>
    <col min="774" max="774" width="18.28515625" style="360" customWidth="1"/>
    <col min="775" max="775" width="17.85546875" style="360" customWidth="1"/>
    <col min="776" max="776" width="0" style="360" hidden="1" customWidth="1"/>
    <col min="777" max="777" width="33.28515625" style="360" customWidth="1"/>
    <col min="778" max="1025" width="10.7109375" style="360"/>
    <col min="1026" max="1026" width="13.140625" style="360" customWidth="1"/>
    <col min="1027" max="1027" width="38" style="360" customWidth="1"/>
    <col min="1028" max="1028" width="8.42578125" style="360" customWidth="1"/>
    <col min="1029" max="1029" width="15.7109375" style="360" customWidth="1"/>
    <col min="1030" max="1030" width="18.28515625" style="360" customWidth="1"/>
    <col min="1031" max="1031" width="17.85546875" style="360" customWidth="1"/>
    <col min="1032" max="1032" width="0" style="360" hidden="1" customWidth="1"/>
    <col min="1033" max="1033" width="33.28515625" style="360" customWidth="1"/>
    <col min="1034" max="1281" width="10.7109375" style="360"/>
    <col min="1282" max="1282" width="13.140625" style="360" customWidth="1"/>
    <col min="1283" max="1283" width="38" style="360" customWidth="1"/>
    <col min="1284" max="1284" width="8.42578125" style="360" customWidth="1"/>
    <col min="1285" max="1285" width="15.7109375" style="360" customWidth="1"/>
    <col min="1286" max="1286" width="18.28515625" style="360" customWidth="1"/>
    <col min="1287" max="1287" width="17.85546875" style="360" customWidth="1"/>
    <col min="1288" max="1288" width="0" style="360" hidden="1" customWidth="1"/>
    <col min="1289" max="1289" width="33.28515625" style="360" customWidth="1"/>
    <col min="1290" max="1537" width="10.7109375" style="360"/>
    <col min="1538" max="1538" width="13.140625" style="360" customWidth="1"/>
    <col min="1539" max="1539" width="38" style="360" customWidth="1"/>
    <col min="1540" max="1540" width="8.42578125" style="360" customWidth="1"/>
    <col min="1541" max="1541" width="15.7109375" style="360" customWidth="1"/>
    <col min="1542" max="1542" width="18.28515625" style="360" customWidth="1"/>
    <col min="1543" max="1543" width="17.85546875" style="360" customWidth="1"/>
    <col min="1544" max="1544" width="0" style="360" hidden="1" customWidth="1"/>
    <col min="1545" max="1545" width="33.28515625" style="360" customWidth="1"/>
    <col min="1546" max="1793" width="10.7109375" style="360"/>
    <col min="1794" max="1794" width="13.140625" style="360" customWidth="1"/>
    <col min="1795" max="1795" width="38" style="360" customWidth="1"/>
    <col min="1796" max="1796" width="8.42578125" style="360" customWidth="1"/>
    <col min="1797" max="1797" width="15.7109375" style="360" customWidth="1"/>
    <col min="1798" max="1798" width="18.28515625" style="360" customWidth="1"/>
    <col min="1799" max="1799" width="17.85546875" style="360" customWidth="1"/>
    <col min="1800" max="1800" width="0" style="360" hidden="1" customWidth="1"/>
    <col min="1801" max="1801" width="33.28515625" style="360" customWidth="1"/>
    <col min="1802" max="2049" width="10.7109375" style="360"/>
    <col min="2050" max="2050" width="13.140625" style="360" customWidth="1"/>
    <col min="2051" max="2051" width="38" style="360" customWidth="1"/>
    <col min="2052" max="2052" width="8.42578125" style="360" customWidth="1"/>
    <col min="2053" max="2053" width="15.7109375" style="360" customWidth="1"/>
    <col min="2054" max="2054" width="18.28515625" style="360" customWidth="1"/>
    <col min="2055" max="2055" width="17.85546875" style="360" customWidth="1"/>
    <col min="2056" max="2056" width="0" style="360" hidden="1" customWidth="1"/>
    <col min="2057" max="2057" width="33.28515625" style="360" customWidth="1"/>
    <col min="2058" max="2305" width="10.7109375" style="360"/>
    <col min="2306" max="2306" width="13.140625" style="360" customWidth="1"/>
    <col min="2307" max="2307" width="38" style="360" customWidth="1"/>
    <col min="2308" max="2308" width="8.42578125" style="360" customWidth="1"/>
    <col min="2309" max="2309" width="15.7109375" style="360" customWidth="1"/>
    <col min="2310" max="2310" width="18.28515625" style="360" customWidth="1"/>
    <col min="2311" max="2311" width="17.85546875" style="360" customWidth="1"/>
    <col min="2312" max="2312" width="0" style="360" hidden="1" customWidth="1"/>
    <col min="2313" max="2313" width="33.28515625" style="360" customWidth="1"/>
    <col min="2314" max="2561" width="10.7109375" style="360"/>
    <col min="2562" max="2562" width="13.140625" style="360" customWidth="1"/>
    <col min="2563" max="2563" width="38" style="360" customWidth="1"/>
    <col min="2564" max="2564" width="8.42578125" style="360" customWidth="1"/>
    <col min="2565" max="2565" width="15.7109375" style="360" customWidth="1"/>
    <col min="2566" max="2566" width="18.28515625" style="360" customWidth="1"/>
    <col min="2567" max="2567" width="17.85546875" style="360" customWidth="1"/>
    <col min="2568" max="2568" width="0" style="360" hidden="1" customWidth="1"/>
    <col min="2569" max="2569" width="33.28515625" style="360" customWidth="1"/>
    <col min="2570" max="2817" width="10.7109375" style="360"/>
    <col min="2818" max="2818" width="13.140625" style="360" customWidth="1"/>
    <col min="2819" max="2819" width="38" style="360" customWidth="1"/>
    <col min="2820" max="2820" width="8.42578125" style="360" customWidth="1"/>
    <col min="2821" max="2821" width="15.7109375" style="360" customWidth="1"/>
    <col min="2822" max="2822" width="18.28515625" style="360" customWidth="1"/>
    <col min="2823" max="2823" width="17.85546875" style="360" customWidth="1"/>
    <col min="2824" max="2824" width="0" style="360" hidden="1" customWidth="1"/>
    <col min="2825" max="2825" width="33.28515625" style="360" customWidth="1"/>
    <col min="2826" max="3073" width="10.7109375" style="360"/>
    <col min="3074" max="3074" width="13.140625" style="360" customWidth="1"/>
    <col min="3075" max="3075" width="38" style="360" customWidth="1"/>
    <col min="3076" max="3076" width="8.42578125" style="360" customWidth="1"/>
    <col min="3077" max="3077" width="15.7109375" style="360" customWidth="1"/>
    <col min="3078" max="3078" width="18.28515625" style="360" customWidth="1"/>
    <col min="3079" max="3079" width="17.85546875" style="360" customWidth="1"/>
    <col min="3080" max="3080" width="0" style="360" hidden="1" customWidth="1"/>
    <col min="3081" max="3081" width="33.28515625" style="360" customWidth="1"/>
    <col min="3082" max="3329" width="10.7109375" style="360"/>
    <col min="3330" max="3330" width="13.140625" style="360" customWidth="1"/>
    <col min="3331" max="3331" width="38" style="360" customWidth="1"/>
    <col min="3332" max="3332" width="8.42578125" style="360" customWidth="1"/>
    <col min="3333" max="3333" width="15.7109375" style="360" customWidth="1"/>
    <col min="3334" max="3334" width="18.28515625" style="360" customWidth="1"/>
    <col min="3335" max="3335" width="17.85546875" style="360" customWidth="1"/>
    <col min="3336" max="3336" width="0" style="360" hidden="1" customWidth="1"/>
    <col min="3337" max="3337" width="33.28515625" style="360" customWidth="1"/>
    <col min="3338" max="3585" width="10.7109375" style="360"/>
    <col min="3586" max="3586" width="13.140625" style="360" customWidth="1"/>
    <col min="3587" max="3587" width="38" style="360" customWidth="1"/>
    <col min="3588" max="3588" width="8.42578125" style="360" customWidth="1"/>
    <col min="3589" max="3589" width="15.7109375" style="360" customWidth="1"/>
    <col min="3590" max="3590" width="18.28515625" style="360" customWidth="1"/>
    <col min="3591" max="3591" width="17.85546875" style="360" customWidth="1"/>
    <col min="3592" max="3592" width="0" style="360" hidden="1" customWidth="1"/>
    <col min="3593" max="3593" width="33.28515625" style="360" customWidth="1"/>
    <col min="3594" max="3841" width="10.7109375" style="360"/>
    <col min="3842" max="3842" width="13.140625" style="360" customWidth="1"/>
    <col min="3843" max="3843" width="38" style="360" customWidth="1"/>
    <col min="3844" max="3844" width="8.42578125" style="360" customWidth="1"/>
    <col min="3845" max="3845" width="15.7109375" style="360" customWidth="1"/>
    <col min="3846" max="3846" width="18.28515625" style="360" customWidth="1"/>
    <col min="3847" max="3847" width="17.85546875" style="360" customWidth="1"/>
    <col min="3848" max="3848" width="0" style="360" hidden="1" customWidth="1"/>
    <col min="3849" max="3849" width="33.28515625" style="360" customWidth="1"/>
    <col min="3850" max="4097" width="10.7109375" style="360"/>
    <col min="4098" max="4098" width="13.140625" style="360" customWidth="1"/>
    <col min="4099" max="4099" width="38" style="360" customWidth="1"/>
    <col min="4100" max="4100" width="8.42578125" style="360" customWidth="1"/>
    <col min="4101" max="4101" width="15.7109375" style="360" customWidth="1"/>
    <col min="4102" max="4102" width="18.28515625" style="360" customWidth="1"/>
    <col min="4103" max="4103" width="17.85546875" style="360" customWidth="1"/>
    <col min="4104" max="4104" width="0" style="360" hidden="1" customWidth="1"/>
    <col min="4105" max="4105" width="33.28515625" style="360" customWidth="1"/>
    <col min="4106" max="4353" width="10.7109375" style="360"/>
    <col min="4354" max="4354" width="13.140625" style="360" customWidth="1"/>
    <col min="4355" max="4355" width="38" style="360" customWidth="1"/>
    <col min="4356" max="4356" width="8.42578125" style="360" customWidth="1"/>
    <col min="4357" max="4357" width="15.7109375" style="360" customWidth="1"/>
    <col min="4358" max="4358" width="18.28515625" style="360" customWidth="1"/>
    <col min="4359" max="4359" width="17.85546875" style="360" customWidth="1"/>
    <col min="4360" max="4360" width="0" style="360" hidden="1" customWidth="1"/>
    <col min="4361" max="4361" width="33.28515625" style="360" customWidth="1"/>
    <col min="4362" max="4609" width="10.7109375" style="360"/>
    <col min="4610" max="4610" width="13.140625" style="360" customWidth="1"/>
    <col min="4611" max="4611" width="38" style="360" customWidth="1"/>
    <col min="4612" max="4612" width="8.42578125" style="360" customWidth="1"/>
    <col min="4613" max="4613" width="15.7109375" style="360" customWidth="1"/>
    <col min="4614" max="4614" width="18.28515625" style="360" customWidth="1"/>
    <col min="4615" max="4615" width="17.85546875" style="360" customWidth="1"/>
    <col min="4616" max="4616" width="0" style="360" hidden="1" customWidth="1"/>
    <col min="4617" max="4617" width="33.28515625" style="360" customWidth="1"/>
    <col min="4618" max="4865" width="10.7109375" style="360"/>
    <col min="4866" max="4866" width="13.140625" style="360" customWidth="1"/>
    <col min="4867" max="4867" width="38" style="360" customWidth="1"/>
    <col min="4868" max="4868" width="8.42578125" style="360" customWidth="1"/>
    <col min="4869" max="4869" width="15.7109375" style="360" customWidth="1"/>
    <col min="4870" max="4870" width="18.28515625" style="360" customWidth="1"/>
    <col min="4871" max="4871" width="17.85546875" style="360" customWidth="1"/>
    <col min="4872" max="4872" width="0" style="360" hidden="1" customWidth="1"/>
    <col min="4873" max="4873" width="33.28515625" style="360" customWidth="1"/>
    <col min="4874" max="5121" width="10.7109375" style="360"/>
    <col min="5122" max="5122" width="13.140625" style="360" customWidth="1"/>
    <col min="5123" max="5123" width="38" style="360" customWidth="1"/>
    <col min="5124" max="5124" width="8.42578125" style="360" customWidth="1"/>
    <col min="5125" max="5125" width="15.7109375" style="360" customWidth="1"/>
    <col min="5126" max="5126" width="18.28515625" style="360" customWidth="1"/>
    <col min="5127" max="5127" width="17.85546875" style="360" customWidth="1"/>
    <col min="5128" max="5128" width="0" style="360" hidden="1" customWidth="1"/>
    <col min="5129" max="5129" width="33.28515625" style="360" customWidth="1"/>
    <col min="5130" max="5377" width="10.7109375" style="360"/>
    <col min="5378" max="5378" width="13.140625" style="360" customWidth="1"/>
    <col min="5379" max="5379" width="38" style="360" customWidth="1"/>
    <col min="5380" max="5380" width="8.42578125" style="360" customWidth="1"/>
    <col min="5381" max="5381" width="15.7109375" style="360" customWidth="1"/>
    <col min="5382" max="5382" width="18.28515625" style="360" customWidth="1"/>
    <col min="5383" max="5383" width="17.85546875" style="360" customWidth="1"/>
    <col min="5384" max="5384" width="0" style="360" hidden="1" customWidth="1"/>
    <col min="5385" max="5385" width="33.28515625" style="360" customWidth="1"/>
    <col min="5386" max="5633" width="10.7109375" style="360"/>
    <col min="5634" max="5634" width="13.140625" style="360" customWidth="1"/>
    <col min="5635" max="5635" width="38" style="360" customWidth="1"/>
    <col min="5636" max="5636" width="8.42578125" style="360" customWidth="1"/>
    <col min="5637" max="5637" width="15.7109375" style="360" customWidth="1"/>
    <col min="5638" max="5638" width="18.28515625" style="360" customWidth="1"/>
    <col min="5639" max="5639" width="17.85546875" style="360" customWidth="1"/>
    <col min="5640" max="5640" width="0" style="360" hidden="1" customWidth="1"/>
    <col min="5641" max="5641" width="33.28515625" style="360" customWidth="1"/>
    <col min="5642" max="5889" width="10.7109375" style="360"/>
    <col min="5890" max="5890" width="13.140625" style="360" customWidth="1"/>
    <col min="5891" max="5891" width="38" style="360" customWidth="1"/>
    <col min="5892" max="5892" width="8.42578125" style="360" customWidth="1"/>
    <col min="5893" max="5893" width="15.7109375" style="360" customWidth="1"/>
    <col min="5894" max="5894" width="18.28515625" style="360" customWidth="1"/>
    <col min="5895" max="5895" width="17.85546875" style="360" customWidth="1"/>
    <col min="5896" max="5896" width="0" style="360" hidden="1" customWidth="1"/>
    <col min="5897" max="5897" width="33.28515625" style="360" customWidth="1"/>
    <col min="5898" max="6145" width="10.7109375" style="360"/>
    <col min="6146" max="6146" width="13.140625" style="360" customWidth="1"/>
    <col min="6147" max="6147" width="38" style="360" customWidth="1"/>
    <col min="6148" max="6148" width="8.42578125" style="360" customWidth="1"/>
    <col min="6149" max="6149" width="15.7109375" style="360" customWidth="1"/>
    <col min="6150" max="6150" width="18.28515625" style="360" customWidth="1"/>
    <col min="6151" max="6151" width="17.85546875" style="360" customWidth="1"/>
    <col min="6152" max="6152" width="0" style="360" hidden="1" customWidth="1"/>
    <col min="6153" max="6153" width="33.28515625" style="360" customWidth="1"/>
    <col min="6154" max="6401" width="10.7109375" style="360"/>
    <col min="6402" max="6402" width="13.140625" style="360" customWidth="1"/>
    <col min="6403" max="6403" width="38" style="360" customWidth="1"/>
    <col min="6404" max="6404" width="8.42578125" style="360" customWidth="1"/>
    <col min="6405" max="6405" width="15.7109375" style="360" customWidth="1"/>
    <col min="6406" max="6406" width="18.28515625" style="360" customWidth="1"/>
    <col min="6407" max="6407" width="17.85546875" style="360" customWidth="1"/>
    <col min="6408" max="6408" width="0" style="360" hidden="1" customWidth="1"/>
    <col min="6409" max="6409" width="33.28515625" style="360" customWidth="1"/>
    <col min="6410" max="6657" width="10.7109375" style="360"/>
    <col min="6658" max="6658" width="13.140625" style="360" customWidth="1"/>
    <col min="6659" max="6659" width="38" style="360" customWidth="1"/>
    <col min="6660" max="6660" width="8.42578125" style="360" customWidth="1"/>
    <col min="6661" max="6661" width="15.7109375" style="360" customWidth="1"/>
    <col min="6662" max="6662" width="18.28515625" style="360" customWidth="1"/>
    <col min="6663" max="6663" width="17.85546875" style="360" customWidth="1"/>
    <col min="6664" max="6664" width="0" style="360" hidden="1" customWidth="1"/>
    <col min="6665" max="6665" width="33.28515625" style="360" customWidth="1"/>
    <col min="6666" max="6913" width="10.7109375" style="360"/>
    <col min="6914" max="6914" width="13.140625" style="360" customWidth="1"/>
    <col min="6915" max="6915" width="38" style="360" customWidth="1"/>
    <col min="6916" max="6916" width="8.42578125" style="360" customWidth="1"/>
    <col min="6917" max="6917" width="15.7109375" style="360" customWidth="1"/>
    <col min="6918" max="6918" width="18.28515625" style="360" customWidth="1"/>
    <col min="6919" max="6919" width="17.85546875" style="360" customWidth="1"/>
    <col min="6920" max="6920" width="0" style="360" hidden="1" customWidth="1"/>
    <col min="6921" max="6921" width="33.28515625" style="360" customWidth="1"/>
    <col min="6922" max="7169" width="10.7109375" style="360"/>
    <col min="7170" max="7170" width="13.140625" style="360" customWidth="1"/>
    <col min="7171" max="7171" width="38" style="360" customWidth="1"/>
    <col min="7172" max="7172" width="8.42578125" style="360" customWidth="1"/>
    <col min="7173" max="7173" width="15.7109375" style="360" customWidth="1"/>
    <col min="7174" max="7174" width="18.28515625" style="360" customWidth="1"/>
    <col min="7175" max="7175" width="17.85546875" style="360" customWidth="1"/>
    <col min="7176" max="7176" width="0" style="360" hidden="1" customWidth="1"/>
    <col min="7177" max="7177" width="33.28515625" style="360" customWidth="1"/>
    <col min="7178" max="7425" width="10.7109375" style="360"/>
    <col min="7426" max="7426" width="13.140625" style="360" customWidth="1"/>
    <col min="7427" max="7427" width="38" style="360" customWidth="1"/>
    <col min="7428" max="7428" width="8.42578125" style="360" customWidth="1"/>
    <col min="7429" max="7429" width="15.7109375" style="360" customWidth="1"/>
    <col min="7430" max="7430" width="18.28515625" style="360" customWidth="1"/>
    <col min="7431" max="7431" width="17.85546875" style="360" customWidth="1"/>
    <col min="7432" max="7432" width="0" style="360" hidden="1" customWidth="1"/>
    <col min="7433" max="7433" width="33.28515625" style="360" customWidth="1"/>
    <col min="7434" max="7681" width="10.7109375" style="360"/>
    <col min="7682" max="7682" width="13.140625" style="360" customWidth="1"/>
    <col min="7683" max="7683" width="38" style="360" customWidth="1"/>
    <col min="7684" max="7684" width="8.42578125" style="360" customWidth="1"/>
    <col min="7685" max="7685" width="15.7109375" style="360" customWidth="1"/>
    <col min="7686" max="7686" width="18.28515625" style="360" customWidth="1"/>
    <col min="7687" max="7687" width="17.85546875" style="360" customWidth="1"/>
    <col min="7688" max="7688" width="0" style="360" hidden="1" customWidth="1"/>
    <col min="7689" max="7689" width="33.28515625" style="360" customWidth="1"/>
    <col min="7690" max="7937" width="10.7109375" style="360"/>
    <col min="7938" max="7938" width="13.140625" style="360" customWidth="1"/>
    <col min="7939" max="7939" width="38" style="360" customWidth="1"/>
    <col min="7940" max="7940" width="8.42578125" style="360" customWidth="1"/>
    <col min="7941" max="7941" width="15.7109375" style="360" customWidth="1"/>
    <col min="7942" max="7942" width="18.28515625" style="360" customWidth="1"/>
    <col min="7943" max="7943" width="17.85546875" style="360" customWidth="1"/>
    <col min="7944" max="7944" width="0" style="360" hidden="1" customWidth="1"/>
    <col min="7945" max="7945" width="33.28515625" style="360" customWidth="1"/>
    <col min="7946" max="8193" width="10.7109375" style="360"/>
    <col min="8194" max="8194" width="13.140625" style="360" customWidth="1"/>
    <col min="8195" max="8195" width="38" style="360" customWidth="1"/>
    <col min="8196" max="8196" width="8.42578125" style="360" customWidth="1"/>
    <col min="8197" max="8197" width="15.7109375" style="360" customWidth="1"/>
    <col min="8198" max="8198" width="18.28515625" style="360" customWidth="1"/>
    <col min="8199" max="8199" width="17.85546875" style="360" customWidth="1"/>
    <col min="8200" max="8200" width="0" style="360" hidden="1" customWidth="1"/>
    <col min="8201" max="8201" width="33.28515625" style="360" customWidth="1"/>
    <col min="8202" max="8449" width="10.7109375" style="360"/>
    <col min="8450" max="8450" width="13.140625" style="360" customWidth="1"/>
    <col min="8451" max="8451" width="38" style="360" customWidth="1"/>
    <col min="8452" max="8452" width="8.42578125" style="360" customWidth="1"/>
    <col min="8453" max="8453" width="15.7109375" style="360" customWidth="1"/>
    <col min="8454" max="8454" width="18.28515625" style="360" customWidth="1"/>
    <col min="8455" max="8455" width="17.85546875" style="360" customWidth="1"/>
    <col min="8456" max="8456" width="0" style="360" hidden="1" customWidth="1"/>
    <col min="8457" max="8457" width="33.28515625" style="360" customWidth="1"/>
    <col min="8458" max="8705" width="10.7109375" style="360"/>
    <col min="8706" max="8706" width="13.140625" style="360" customWidth="1"/>
    <col min="8707" max="8707" width="38" style="360" customWidth="1"/>
    <col min="8708" max="8708" width="8.42578125" style="360" customWidth="1"/>
    <col min="8709" max="8709" width="15.7109375" style="360" customWidth="1"/>
    <col min="8710" max="8710" width="18.28515625" style="360" customWidth="1"/>
    <col min="8711" max="8711" width="17.85546875" style="360" customWidth="1"/>
    <col min="8712" max="8712" width="0" style="360" hidden="1" customWidth="1"/>
    <col min="8713" max="8713" width="33.28515625" style="360" customWidth="1"/>
    <col min="8714" max="8961" width="10.7109375" style="360"/>
    <col min="8962" max="8962" width="13.140625" style="360" customWidth="1"/>
    <col min="8963" max="8963" width="38" style="360" customWidth="1"/>
    <col min="8964" max="8964" width="8.42578125" style="360" customWidth="1"/>
    <col min="8965" max="8965" width="15.7109375" style="360" customWidth="1"/>
    <col min="8966" max="8966" width="18.28515625" style="360" customWidth="1"/>
    <col min="8967" max="8967" width="17.85546875" style="360" customWidth="1"/>
    <col min="8968" max="8968" width="0" style="360" hidden="1" customWidth="1"/>
    <col min="8969" max="8969" width="33.28515625" style="360" customWidth="1"/>
    <col min="8970" max="9217" width="10.7109375" style="360"/>
    <col min="9218" max="9218" width="13.140625" style="360" customWidth="1"/>
    <col min="9219" max="9219" width="38" style="360" customWidth="1"/>
    <col min="9220" max="9220" width="8.42578125" style="360" customWidth="1"/>
    <col min="9221" max="9221" width="15.7109375" style="360" customWidth="1"/>
    <col min="9222" max="9222" width="18.28515625" style="360" customWidth="1"/>
    <col min="9223" max="9223" width="17.85546875" style="360" customWidth="1"/>
    <col min="9224" max="9224" width="0" style="360" hidden="1" customWidth="1"/>
    <col min="9225" max="9225" width="33.28515625" style="360" customWidth="1"/>
    <col min="9226" max="9473" width="10.7109375" style="360"/>
    <col min="9474" max="9474" width="13.140625" style="360" customWidth="1"/>
    <col min="9475" max="9475" width="38" style="360" customWidth="1"/>
    <col min="9476" max="9476" width="8.42578125" style="360" customWidth="1"/>
    <col min="9477" max="9477" width="15.7109375" style="360" customWidth="1"/>
    <col min="9478" max="9478" width="18.28515625" style="360" customWidth="1"/>
    <col min="9479" max="9479" width="17.85546875" style="360" customWidth="1"/>
    <col min="9480" max="9480" width="0" style="360" hidden="1" customWidth="1"/>
    <col min="9481" max="9481" width="33.28515625" style="360" customWidth="1"/>
    <col min="9482" max="9729" width="10.7109375" style="360"/>
    <col min="9730" max="9730" width="13.140625" style="360" customWidth="1"/>
    <col min="9731" max="9731" width="38" style="360" customWidth="1"/>
    <col min="9732" max="9732" width="8.42578125" style="360" customWidth="1"/>
    <col min="9733" max="9733" width="15.7109375" style="360" customWidth="1"/>
    <col min="9734" max="9734" width="18.28515625" style="360" customWidth="1"/>
    <col min="9735" max="9735" width="17.85546875" style="360" customWidth="1"/>
    <col min="9736" max="9736" width="0" style="360" hidden="1" customWidth="1"/>
    <col min="9737" max="9737" width="33.28515625" style="360" customWidth="1"/>
    <col min="9738" max="9985" width="10.7109375" style="360"/>
    <col min="9986" max="9986" width="13.140625" style="360" customWidth="1"/>
    <col min="9987" max="9987" width="38" style="360" customWidth="1"/>
    <col min="9988" max="9988" width="8.42578125" style="360" customWidth="1"/>
    <col min="9989" max="9989" width="15.7109375" style="360" customWidth="1"/>
    <col min="9990" max="9990" width="18.28515625" style="360" customWidth="1"/>
    <col min="9991" max="9991" width="17.85546875" style="360" customWidth="1"/>
    <col min="9992" max="9992" width="0" style="360" hidden="1" customWidth="1"/>
    <col min="9993" max="9993" width="33.28515625" style="360" customWidth="1"/>
    <col min="9994" max="10241" width="10.7109375" style="360"/>
    <col min="10242" max="10242" width="13.140625" style="360" customWidth="1"/>
    <col min="10243" max="10243" width="38" style="360" customWidth="1"/>
    <col min="10244" max="10244" width="8.42578125" style="360" customWidth="1"/>
    <col min="10245" max="10245" width="15.7109375" style="360" customWidth="1"/>
    <col min="10246" max="10246" width="18.28515625" style="360" customWidth="1"/>
    <col min="10247" max="10247" width="17.85546875" style="360" customWidth="1"/>
    <col min="10248" max="10248" width="0" style="360" hidden="1" customWidth="1"/>
    <col min="10249" max="10249" width="33.28515625" style="360" customWidth="1"/>
    <col min="10250" max="10497" width="10.7109375" style="360"/>
    <col min="10498" max="10498" width="13.140625" style="360" customWidth="1"/>
    <col min="10499" max="10499" width="38" style="360" customWidth="1"/>
    <col min="10500" max="10500" width="8.42578125" style="360" customWidth="1"/>
    <col min="10501" max="10501" width="15.7109375" style="360" customWidth="1"/>
    <col min="10502" max="10502" width="18.28515625" style="360" customWidth="1"/>
    <col min="10503" max="10503" width="17.85546875" style="360" customWidth="1"/>
    <col min="10504" max="10504" width="0" style="360" hidden="1" customWidth="1"/>
    <col min="10505" max="10505" width="33.28515625" style="360" customWidth="1"/>
    <col min="10506" max="10753" width="10.7109375" style="360"/>
    <col min="10754" max="10754" width="13.140625" style="360" customWidth="1"/>
    <col min="10755" max="10755" width="38" style="360" customWidth="1"/>
    <col min="10756" max="10756" width="8.42578125" style="360" customWidth="1"/>
    <col min="10757" max="10757" width="15.7109375" style="360" customWidth="1"/>
    <col min="10758" max="10758" width="18.28515625" style="360" customWidth="1"/>
    <col min="10759" max="10759" width="17.85546875" style="360" customWidth="1"/>
    <col min="10760" max="10760" width="0" style="360" hidden="1" customWidth="1"/>
    <col min="10761" max="10761" width="33.28515625" style="360" customWidth="1"/>
    <col min="10762" max="11009" width="10.7109375" style="360"/>
    <col min="11010" max="11010" width="13.140625" style="360" customWidth="1"/>
    <col min="11011" max="11011" width="38" style="360" customWidth="1"/>
    <col min="11012" max="11012" width="8.42578125" style="360" customWidth="1"/>
    <col min="11013" max="11013" width="15.7109375" style="360" customWidth="1"/>
    <col min="11014" max="11014" width="18.28515625" style="360" customWidth="1"/>
    <col min="11015" max="11015" width="17.85546875" style="360" customWidth="1"/>
    <col min="11016" max="11016" width="0" style="360" hidden="1" customWidth="1"/>
    <col min="11017" max="11017" width="33.28515625" style="360" customWidth="1"/>
    <col min="11018" max="11265" width="10.7109375" style="360"/>
    <col min="11266" max="11266" width="13.140625" style="360" customWidth="1"/>
    <col min="11267" max="11267" width="38" style="360" customWidth="1"/>
    <col min="11268" max="11268" width="8.42578125" style="360" customWidth="1"/>
    <col min="11269" max="11269" width="15.7109375" style="360" customWidth="1"/>
    <col min="11270" max="11270" width="18.28515625" style="360" customWidth="1"/>
    <col min="11271" max="11271" width="17.85546875" style="360" customWidth="1"/>
    <col min="11272" max="11272" width="0" style="360" hidden="1" customWidth="1"/>
    <col min="11273" max="11273" width="33.28515625" style="360" customWidth="1"/>
    <col min="11274" max="11521" width="10.7109375" style="360"/>
    <col min="11522" max="11522" width="13.140625" style="360" customWidth="1"/>
    <col min="11523" max="11523" width="38" style="360" customWidth="1"/>
    <col min="11524" max="11524" width="8.42578125" style="360" customWidth="1"/>
    <col min="11525" max="11525" width="15.7109375" style="360" customWidth="1"/>
    <col min="11526" max="11526" width="18.28515625" style="360" customWidth="1"/>
    <col min="11527" max="11527" width="17.85546875" style="360" customWidth="1"/>
    <col min="11528" max="11528" width="0" style="360" hidden="1" customWidth="1"/>
    <col min="11529" max="11529" width="33.28515625" style="360" customWidth="1"/>
    <col min="11530" max="11777" width="10.7109375" style="360"/>
    <col min="11778" max="11778" width="13.140625" style="360" customWidth="1"/>
    <col min="11779" max="11779" width="38" style="360" customWidth="1"/>
    <col min="11780" max="11780" width="8.42578125" style="360" customWidth="1"/>
    <col min="11781" max="11781" width="15.7109375" style="360" customWidth="1"/>
    <col min="11782" max="11782" width="18.28515625" style="360" customWidth="1"/>
    <col min="11783" max="11783" width="17.85546875" style="360" customWidth="1"/>
    <col min="11784" max="11784" width="0" style="360" hidden="1" customWidth="1"/>
    <col min="11785" max="11785" width="33.28515625" style="360" customWidth="1"/>
    <col min="11786" max="12033" width="10.7109375" style="360"/>
    <col min="12034" max="12034" width="13.140625" style="360" customWidth="1"/>
    <col min="12035" max="12035" width="38" style="360" customWidth="1"/>
    <col min="12036" max="12036" width="8.42578125" style="360" customWidth="1"/>
    <col min="12037" max="12037" width="15.7109375" style="360" customWidth="1"/>
    <col min="12038" max="12038" width="18.28515625" style="360" customWidth="1"/>
    <col min="12039" max="12039" width="17.85546875" style="360" customWidth="1"/>
    <col min="12040" max="12040" width="0" style="360" hidden="1" customWidth="1"/>
    <col min="12041" max="12041" width="33.28515625" style="360" customWidth="1"/>
    <col min="12042" max="12289" width="10.7109375" style="360"/>
    <col min="12290" max="12290" width="13.140625" style="360" customWidth="1"/>
    <col min="12291" max="12291" width="38" style="360" customWidth="1"/>
    <col min="12292" max="12292" width="8.42578125" style="360" customWidth="1"/>
    <col min="12293" max="12293" width="15.7109375" style="360" customWidth="1"/>
    <col min="12294" max="12294" width="18.28515625" style="360" customWidth="1"/>
    <col min="12295" max="12295" width="17.85546875" style="360" customWidth="1"/>
    <col min="12296" max="12296" width="0" style="360" hidden="1" customWidth="1"/>
    <col min="12297" max="12297" width="33.28515625" style="360" customWidth="1"/>
    <col min="12298" max="12545" width="10.7109375" style="360"/>
    <col min="12546" max="12546" width="13.140625" style="360" customWidth="1"/>
    <col min="12547" max="12547" width="38" style="360" customWidth="1"/>
    <col min="12548" max="12548" width="8.42578125" style="360" customWidth="1"/>
    <col min="12549" max="12549" width="15.7109375" style="360" customWidth="1"/>
    <col min="12550" max="12550" width="18.28515625" style="360" customWidth="1"/>
    <col min="12551" max="12551" width="17.85546875" style="360" customWidth="1"/>
    <col min="12552" max="12552" width="0" style="360" hidden="1" customWidth="1"/>
    <col min="12553" max="12553" width="33.28515625" style="360" customWidth="1"/>
    <col min="12554" max="12801" width="10.7109375" style="360"/>
    <col min="12802" max="12802" width="13.140625" style="360" customWidth="1"/>
    <col min="12803" max="12803" width="38" style="360" customWidth="1"/>
    <col min="12804" max="12804" width="8.42578125" style="360" customWidth="1"/>
    <col min="12805" max="12805" width="15.7109375" style="360" customWidth="1"/>
    <col min="12806" max="12806" width="18.28515625" style="360" customWidth="1"/>
    <col min="12807" max="12807" width="17.85546875" style="360" customWidth="1"/>
    <col min="12808" max="12808" width="0" style="360" hidden="1" customWidth="1"/>
    <col min="12809" max="12809" width="33.28515625" style="360" customWidth="1"/>
    <col min="12810" max="13057" width="10.7109375" style="360"/>
    <col min="13058" max="13058" width="13.140625" style="360" customWidth="1"/>
    <col min="13059" max="13059" width="38" style="360" customWidth="1"/>
    <col min="13060" max="13060" width="8.42578125" style="360" customWidth="1"/>
    <col min="13061" max="13061" width="15.7109375" style="360" customWidth="1"/>
    <col min="13062" max="13062" width="18.28515625" style="360" customWidth="1"/>
    <col min="13063" max="13063" width="17.85546875" style="360" customWidth="1"/>
    <col min="13064" max="13064" width="0" style="360" hidden="1" customWidth="1"/>
    <col min="13065" max="13065" width="33.28515625" style="360" customWidth="1"/>
    <col min="13066" max="13313" width="10.7109375" style="360"/>
    <col min="13314" max="13314" width="13.140625" style="360" customWidth="1"/>
    <col min="13315" max="13315" width="38" style="360" customWidth="1"/>
    <col min="13316" max="13316" width="8.42578125" style="360" customWidth="1"/>
    <col min="13317" max="13317" width="15.7109375" style="360" customWidth="1"/>
    <col min="13318" max="13318" width="18.28515625" style="360" customWidth="1"/>
    <col min="13319" max="13319" width="17.85546875" style="360" customWidth="1"/>
    <col min="13320" max="13320" width="0" style="360" hidden="1" customWidth="1"/>
    <col min="13321" max="13321" width="33.28515625" style="360" customWidth="1"/>
    <col min="13322" max="13569" width="10.7109375" style="360"/>
    <col min="13570" max="13570" width="13.140625" style="360" customWidth="1"/>
    <col min="13571" max="13571" width="38" style="360" customWidth="1"/>
    <col min="13572" max="13572" width="8.42578125" style="360" customWidth="1"/>
    <col min="13573" max="13573" width="15.7109375" style="360" customWidth="1"/>
    <col min="13574" max="13574" width="18.28515625" style="360" customWidth="1"/>
    <col min="13575" max="13575" width="17.85546875" style="360" customWidth="1"/>
    <col min="13576" max="13576" width="0" style="360" hidden="1" customWidth="1"/>
    <col min="13577" max="13577" width="33.28515625" style="360" customWidth="1"/>
    <col min="13578" max="13825" width="10.7109375" style="360"/>
    <col min="13826" max="13826" width="13.140625" style="360" customWidth="1"/>
    <col min="13827" max="13827" width="38" style="360" customWidth="1"/>
    <col min="13828" max="13828" width="8.42578125" style="360" customWidth="1"/>
    <col min="13829" max="13829" width="15.7109375" style="360" customWidth="1"/>
    <col min="13830" max="13830" width="18.28515625" style="360" customWidth="1"/>
    <col min="13831" max="13831" width="17.85546875" style="360" customWidth="1"/>
    <col min="13832" max="13832" width="0" style="360" hidden="1" customWidth="1"/>
    <col min="13833" max="13833" width="33.28515625" style="360" customWidth="1"/>
    <col min="13834" max="14081" width="10.7109375" style="360"/>
    <col min="14082" max="14082" width="13.140625" style="360" customWidth="1"/>
    <col min="14083" max="14083" width="38" style="360" customWidth="1"/>
    <col min="14084" max="14084" width="8.42578125" style="360" customWidth="1"/>
    <col min="14085" max="14085" width="15.7109375" style="360" customWidth="1"/>
    <col min="14086" max="14086" width="18.28515625" style="360" customWidth="1"/>
    <col min="14087" max="14087" width="17.85546875" style="360" customWidth="1"/>
    <col min="14088" max="14088" width="0" style="360" hidden="1" customWidth="1"/>
    <col min="14089" max="14089" width="33.28515625" style="360" customWidth="1"/>
    <col min="14090" max="14337" width="10.7109375" style="360"/>
    <col min="14338" max="14338" width="13.140625" style="360" customWidth="1"/>
    <col min="14339" max="14339" width="38" style="360" customWidth="1"/>
    <col min="14340" max="14340" width="8.42578125" style="360" customWidth="1"/>
    <col min="14341" max="14341" width="15.7109375" style="360" customWidth="1"/>
    <col min="14342" max="14342" width="18.28515625" style="360" customWidth="1"/>
    <col min="14343" max="14343" width="17.85546875" style="360" customWidth="1"/>
    <col min="14344" max="14344" width="0" style="360" hidden="1" customWidth="1"/>
    <col min="14345" max="14345" width="33.28515625" style="360" customWidth="1"/>
    <col min="14346" max="14593" width="10.7109375" style="360"/>
    <col min="14594" max="14594" width="13.140625" style="360" customWidth="1"/>
    <col min="14595" max="14595" width="38" style="360" customWidth="1"/>
    <col min="14596" max="14596" width="8.42578125" style="360" customWidth="1"/>
    <col min="14597" max="14597" width="15.7109375" style="360" customWidth="1"/>
    <col min="14598" max="14598" width="18.28515625" style="360" customWidth="1"/>
    <col min="14599" max="14599" width="17.85546875" style="360" customWidth="1"/>
    <col min="14600" max="14600" width="0" style="360" hidden="1" customWidth="1"/>
    <col min="14601" max="14601" width="33.28515625" style="360" customWidth="1"/>
    <col min="14602" max="14849" width="10.7109375" style="360"/>
    <col min="14850" max="14850" width="13.140625" style="360" customWidth="1"/>
    <col min="14851" max="14851" width="38" style="360" customWidth="1"/>
    <col min="14852" max="14852" width="8.42578125" style="360" customWidth="1"/>
    <col min="14853" max="14853" width="15.7109375" style="360" customWidth="1"/>
    <col min="14854" max="14854" width="18.28515625" style="360" customWidth="1"/>
    <col min="14855" max="14855" width="17.85546875" style="360" customWidth="1"/>
    <col min="14856" max="14856" width="0" style="360" hidden="1" customWidth="1"/>
    <col min="14857" max="14857" width="33.28515625" style="360" customWidth="1"/>
    <col min="14858" max="15105" width="10.7109375" style="360"/>
    <col min="15106" max="15106" width="13.140625" style="360" customWidth="1"/>
    <col min="15107" max="15107" width="38" style="360" customWidth="1"/>
    <col min="15108" max="15108" width="8.42578125" style="360" customWidth="1"/>
    <col min="15109" max="15109" width="15.7109375" style="360" customWidth="1"/>
    <col min="15110" max="15110" width="18.28515625" style="360" customWidth="1"/>
    <col min="15111" max="15111" width="17.85546875" style="360" customWidth="1"/>
    <col min="15112" max="15112" width="0" style="360" hidden="1" customWidth="1"/>
    <col min="15113" max="15113" width="33.28515625" style="360" customWidth="1"/>
    <col min="15114" max="15361" width="10.7109375" style="360"/>
    <col min="15362" max="15362" width="13.140625" style="360" customWidth="1"/>
    <col min="15363" max="15363" width="38" style="360" customWidth="1"/>
    <col min="15364" max="15364" width="8.42578125" style="360" customWidth="1"/>
    <col min="15365" max="15365" width="15.7109375" style="360" customWidth="1"/>
    <col min="15366" max="15366" width="18.28515625" style="360" customWidth="1"/>
    <col min="15367" max="15367" width="17.85546875" style="360" customWidth="1"/>
    <col min="15368" max="15368" width="0" style="360" hidden="1" customWidth="1"/>
    <col min="15369" max="15369" width="33.28515625" style="360" customWidth="1"/>
    <col min="15370" max="15617" width="10.7109375" style="360"/>
    <col min="15618" max="15618" width="13.140625" style="360" customWidth="1"/>
    <col min="15619" max="15619" width="38" style="360" customWidth="1"/>
    <col min="15620" max="15620" width="8.42578125" style="360" customWidth="1"/>
    <col min="15621" max="15621" width="15.7109375" style="360" customWidth="1"/>
    <col min="15622" max="15622" width="18.28515625" style="360" customWidth="1"/>
    <col min="15623" max="15623" width="17.85546875" style="360" customWidth="1"/>
    <col min="15624" max="15624" width="0" style="360" hidden="1" customWidth="1"/>
    <col min="15625" max="15625" width="33.28515625" style="360" customWidth="1"/>
    <col min="15626" max="15873" width="10.7109375" style="360"/>
    <col min="15874" max="15874" width="13.140625" style="360" customWidth="1"/>
    <col min="15875" max="15875" width="38" style="360" customWidth="1"/>
    <col min="15876" max="15876" width="8.42578125" style="360" customWidth="1"/>
    <col min="15877" max="15877" width="15.7109375" style="360" customWidth="1"/>
    <col min="15878" max="15878" width="18.28515625" style="360" customWidth="1"/>
    <col min="15879" max="15879" width="17.85546875" style="360" customWidth="1"/>
    <col min="15880" max="15880" width="0" style="360" hidden="1" customWidth="1"/>
    <col min="15881" max="15881" width="33.28515625" style="360" customWidth="1"/>
    <col min="15882" max="16129" width="10.7109375" style="360"/>
    <col min="16130" max="16130" width="13.140625" style="360" customWidth="1"/>
    <col min="16131" max="16131" width="38" style="360" customWidth="1"/>
    <col min="16132" max="16132" width="8.42578125" style="360" customWidth="1"/>
    <col min="16133" max="16133" width="15.7109375" style="360" customWidth="1"/>
    <col min="16134" max="16134" width="18.28515625" style="360" customWidth="1"/>
    <col min="16135" max="16135" width="17.85546875" style="360" customWidth="1"/>
    <col min="16136" max="16136" width="0" style="360" hidden="1" customWidth="1"/>
    <col min="16137" max="16137" width="33.28515625" style="360" customWidth="1"/>
    <col min="16138" max="16384" width="10.7109375" style="360"/>
  </cols>
  <sheetData>
    <row r="1" spans="1:11" ht="14.25" x14ac:dyDescent="0.25">
      <c r="A1" s="547" t="s">
        <v>1787</v>
      </c>
      <c r="B1" s="356"/>
      <c r="C1" s="357"/>
      <c r="D1" s="767"/>
      <c r="E1" s="358"/>
      <c r="F1" s="358"/>
      <c r="G1" s="359"/>
      <c r="H1" s="359"/>
      <c r="I1" s="359"/>
    </row>
    <row r="2" spans="1:11" ht="13.15" x14ac:dyDescent="0.3">
      <c r="A2" s="361"/>
      <c r="B2" s="356"/>
      <c r="C2" s="357"/>
      <c r="D2" s="767"/>
      <c r="E2" s="358"/>
      <c r="F2" s="358"/>
      <c r="G2" s="359"/>
      <c r="H2" s="359"/>
      <c r="I2" s="359"/>
    </row>
    <row r="3" spans="1:11" ht="13.15" x14ac:dyDescent="0.3">
      <c r="A3" s="359"/>
      <c r="B3" s="362"/>
      <c r="C3" s="357"/>
      <c r="D3" s="767"/>
      <c r="E3" s="358"/>
      <c r="F3" s="358"/>
      <c r="G3" s="359"/>
      <c r="H3" s="359"/>
      <c r="I3" s="359"/>
    </row>
    <row r="4" spans="1:11" ht="13.15" x14ac:dyDescent="0.3">
      <c r="A4" s="1445" t="s">
        <v>1178</v>
      </c>
      <c r="B4" s="1445"/>
      <c r="C4" s="1445"/>
      <c r="D4" s="1445"/>
      <c r="E4" s="1445"/>
      <c r="F4" s="1445"/>
      <c r="G4" s="1445"/>
      <c r="H4" s="1445"/>
      <c r="I4" s="762"/>
    </row>
    <row r="5" spans="1:11" ht="13.15" x14ac:dyDescent="0.3">
      <c r="A5" s="1445" t="s">
        <v>1450</v>
      </c>
      <c r="B5" s="1445"/>
      <c r="C5" s="1445"/>
      <c r="D5" s="1445"/>
      <c r="E5" s="1445"/>
      <c r="F5" s="1445"/>
      <c r="G5" s="1445"/>
      <c r="H5" s="1445"/>
      <c r="I5" s="762"/>
    </row>
    <row r="6" spans="1:11" ht="13.15" x14ac:dyDescent="0.3">
      <c r="A6" s="1445" t="str">
        <f>DG!C62</f>
        <v>OBIECT 3 - Amenajări exterioare</v>
      </c>
      <c r="B6" s="1445"/>
      <c r="C6" s="1445"/>
      <c r="D6" s="1445"/>
      <c r="E6" s="1445"/>
      <c r="F6" s="1445"/>
      <c r="G6" s="1445"/>
      <c r="H6" s="1445"/>
      <c r="I6" s="548"/>
    </row>
    <row r="7" spans="1:11" ht="13.15" x14ac:dyDescent="0.3">
      <c r="A7" s="762"/>
      <c r="B7" s="762"/>
      <c r="C7" s="762"/>
      <c r="D7" s="548"/>
      <c r="E7" s="762"/>
      <c r="F7" s="762"/>
      <c r="G7" s="762"/>
      <c r="H7" s="762"/>
      <c r="I7" s="762"/>
    </row>
    <row r="8" spans="1:11" ht="13.15" x14ac:dyDescent="0.3">
      <c r="A8" s="359"/>
      <c r="B8" s="362"/>
      <c r="C8" s="357"/>
      <c r="D8" s="766">
        <v>1</v>
      </c>
      <c r="E8" s="358"/>
      <c r="F8" s="358"/>
      <c r="G8" s="359"/>
      <c r="H8" s="359"/>
      <c r="I8" s="359"/>
    </row>
    <row r="9" spans="1:11" ht="38.25" x14ac:dyDescent="0.25">
      <c r="A9" s="1446" t="s">
        <v>1179</v>
      </c>
      <c r="B9" s="1446" t="s">
        <v>1180</v>
      </c>
      <c r="C9" s="1446" t="s">
        <v>1181</v>
      </c>
      <c r="D9" s="1447" t="s">
        <v>1182</v>
      </c>
      <c r="E9" s="1448" t="s">
        <v>1182</v>
      </c>
      <c r="F9" s="824" t="s">
        <v>1183</v>
      </c>
      <c r="G9" s="1446" t="s">
        <v>1184</v>
      </c>
      <c r="H9" s="1446" t="s">
        <v>1185</v>
      </c>
      <c r="I9" s="764" t="s">
        <v>1451</v>
      </c>
      <c r="K9" s="363"/>
    </row>
    <row r="10" spans="1:11" ht="25.5" x14ac:dyDescent="0.25">
      <c r="A10" s="1446"/>
      <c r="B10" s="1446"/>
      <c r="C10" s="1446"/>
      <c r="D10" s="1447"/>
      <c r="E10" s="1448"/>
      <c r="F10" s="824" t="s">
        <v>1186</v>
      </c>
      <c r="G10" s="1446"/>
      <c r="H10" s="1446"/>
      <c r="I10" s="765"/>
      <c r="K10" s="363"/>
    </row>
    <row r="11" spans="1:11" ht="13.15" x14ac:dyDescent="0.3">
      <c r="A11" s="572">
        <v>1</v>
      </c>
      <c r="B11" s="572">
        <v>2</v>
      </c>
      <c r="C11" s="572">
        <v>3</v>
      </c>
      <c r="D11" s="768"/>
      <c r="E11" s="573">
        <v>4</v>
      </c>
      <c r="F11" s="573">
        <v>5</v>
      </c>
      <c r="G11" s="572">
        <v>7</v>
      </c>
      <c r="H11" s="572">
        <v>6</v>
      </c>
      <c r="I11" s="364"/>
    </row>
    <row r="12" spans="1:11" ht="13.15" x14ac:dyDescent="0.3">
      <c r="A12" s="816" t="s">
        <v>1457</v>
      </c>
      <c r="B12" s="565"/>
      <c r="C12" s="574"/>
      <c r="D12" s="772"/>
      <c r="E12" s="575"/>
      <c r="F12" s="575"/>
      <c r="G12" s="576"/>
      <c r="H12" s="577"/>
      <c r="I12" s="530"/>
    </row>
    <row r="13" spans="1:11" ht="26.45" x14ac:dyDescent="0.3">
      <c r="A13" s="366" t="s">
        <v>1458</v>
      </c>
      <c r="B13" s="535"/>
      <c r="C13" s="531"/>
      <c r="D13" s="770">
        <f>11105/1.19</f>
        <v>9331.9327731092435</v>
      </c>
      <c r="E13" s="369"/>
      <c r="F13" s="401">
        <f>E13*C13</f>
        <v>0</v>
      </c>
      <c r="G13" s="530"/>
      <c r="H13" s="530"/>
      <c r="I13" s="553" t="s">
        <v>1452</v>
      </c>
      <c r="K13" s="559"/>
    </row>
    <row r="14" spans="1:11" ht="14.45" x14ac:dyDescent="0.3">
      <c r="A14" s="366" t="s">
        <v>1459</v>
      </c>
      <c r="B14" s="555"/>
      <c r="C14" s="556"/>
      <c r="D14" s="771">
        <f>11234.97/1.19</f>
        <v>9441.1512605042008</v>
      </c>
      <c r="E14" s="401"/>
      <c r="F14" s="401">
        <f t="shared" ref="F14:F17" si="0">E14*C14</f>
        <v>0</v>
      </c>
      <c r="G14" s="557"/>
      <c r="H14" s="557"/>
      <c r="I14" s="530"/>
      <c r="K14" s="559"/>
    </row>
    <row r="15" spans="1:11" ht="26.45" x14ac:dyDescent="0.3">
      <c r="A15" s="366" t="s">
        <v>1460</v>
      </c>
      <c r="B15" s="555"/>
      <c r="C15" s="556"/>
      <c r="D15" s="771">
        <f>2745/1.19</f>
        <v>2306.7226890756306</v>
      </c>
      <c r="E15" s="401"/>
      <c r="F15" s="401">
        <f t="shared" si="0"/>
        <v>0</v>
      </c>
      <c r="G15" s="557"/>
      <c r="H15" s="557"/>
      <c r="I15" s="553" t="s">
        <v>1453</v>
      </c>
      <c r="K15" s="426"/>
    </row>
    <row r="16" spans="1:11" ht="26.45" hidden="1" x14ac:dyDescent="0.3">
      <c r="A16" s="366" t="s">
        <v>1461</v>
      </c>
      <c r="B16" s="555"/>
      <c r="C16" s="556"/>
      <c r="D16" s="771"/>
      <c r="E16" s="401"/>
      <c r="F16" s="401">
        <f t="shared" si="0"/>
        <v>0</v>
      </c>
      <c r="G16" s="557"/>
      <c r="H16" s="557"/>
      <c r="I16" s="553" t="s">
        <v>1453</v>
      </c>
      <c r="K16" s="426"/>
    </row>
    <row r="17" spans="1:17" ht="26.45" hidden="1" x14ac:dyDescent="0.3">
      <c r="A17" s="366" t="s">
        <v>1462</v>
      </c>
      <c r="B17" s="555"/>
      <c r="C17" s="556"/>
      <c r="D17" s="771"/>
      <c r="E17" s="401"/>
      <c r="F17" s="401">
        <f t="shared" si="0"/>
        <v>0</v>
      </c>
      <c r="G17" s="557"/>
      <c r="H17" s="557"/>
      <c r="I17" s="553" t="s">
        <v>1453</v>
      </c>
    </row>
    <row r="18" spans="1:17" ht="13.15" x14ac:dyDescent="0.3">
      <c r="A18" s="1444"/>
      <c r="B18" s="1444"/>
      <c r="C18" s="1444"/>
      <c r="D18" s="1444"/>
      <c r="E18" s="1444"/>
      <c r="F18" s="370">
        <f>SUM(F12:F17)</f>
        <v>0</v>
      </c>
      <c r="G18" s="1444" t="s">
        <v>1188</v>
      </c>
      <c r="H18" s="1444"/>
      <c r="I18" s="761"/>
    </row>
    <row r="19" spans="1:17" ht="13.15" x14ac:dyDescent="0.3">
      <c r="A19" s="359"/>
      <c r="B19" s="371"/>
      <c r="C19" s="372"/>
      <c r="D19" s="773"/>
      <c r="E19" s="358"/>
      <c r="F19" s="358"/>
      <c r="G19" s="359"/>
      <c r="H19" s="359"/>
      <c r="I19" s="359"/>
      <c r="M19" s="851"/>
    </row>
    <row r="20" spans="1:17" ht="13.9" x14ac:dyDescent="0.25">
      <c r="A20" s="359"/>
      <c r="B20" s="363"/>
      <c r="C20" s="357"/>
      <c r="D20" s="767"/>
      <c r="E20" s="358"/>
      <c r="F20" s="358"/>
      <c r="G20" s="359"/>
      <c r="H20" s="44" t="s">
        <v>82</v>
      </c>
      <c r="I20" s="44"/>
    </row>
    <row r="21" spans="1:17" ht="13.9" x14ac:dyDescent="0.25">
      <c r="A21" s="359"/>
      <c r="B21" s="371"/>
      <c r="C21" s="357"/>
      <c r="D21" s="767"/>
      <c r="E21" s="358"/>
      <c r="F21" s="358"/>
      <c r="G21" s="359"/>
      <c r="H21" s="45"/>
      <c r="I21" s="45"/>
    </row>
    <row r="22" spans="1:17" ht="13.9" x14ac:dyDescent="0.25">
      <c r="A22" s="359"/>
      <c r="B22" s="362"/>
      <c r="C22" s="357"/>
      <c r="D22" s="767"/>
      <c r="E22" s="358"/>
      <c r="F22" s="358"/>
      <c r="G22" s="359"/>
      <c r="H22" s="44" t="s">
        <v>1516</v>
      </c>
      <c r="I22" s="44"/>
    </row>
    <row r="23" spans="1:17" ht="13.9" x14ac:dyDescent="0.25">
      <c r="A23" s="359"/>
      <c r="B23" s="371"/>
      <c r="C23" s="357"/>
      <c r="D23" s="767"/>
      <c r="E23" s="358"/>
      <c r="F23" s="358"/>
      <c r="G23" s="359"/>
      <c r="H23" s="45" t="s">
        <v>83</v>
      </c>
      <c r="I23" s="45"/>
    </row>
    <row r="24" spans="1:17" ht="13.9" x14ac:dyDescent="0.25">
      <c r="A24" s="359"/>
      <c r="B24" s="362"/>
      <c r="C24" s="357"/>
      <c r="D24" s="767"/>
      <c r="E24" s="358"/>
      <c r="F24" s="358"/>
      <c r="G24" s="359"/>
      <c r="H24" s="45" t="s">
        <v>1517</v>
      </c>
      <c r="I24" s="45"/>
    </row>
    <row r="25" spans="1:17" ht="13.15" x14ac:dyDescent="0.3">
      <c r="A25" s="359"/>
      <c r="B25" s="371"/>
      <c r="C25" s="357"/>
      <c r="D25" s="767"/>
      <c r="E25" s="358"/>
      <c r="F25" s="358"/>
      <c r="G25" s="359"/>
      <c r="H25" s="359"/>
      <c r="I25" s="359"/>
    </row>
    <row r="27" spans="1:17" ht="13.15" x14ac:dyDescent="0.3">
      <c r="A27" s="378"/>
    </row>
    <row r="28" spans="1:17" ht="13.15" x14ac:dyDescent="0.3">
      <c r="A28" s="378"/>
      <c r="B28" s="360"/>
      <c r="H28" s="379"/>
      <c r="I28" s="379"/>
    </row>
    <row r="29" spans="1:17" ht="13.15" x14ac:dyDescent="0.3">
      <c r="A29" s="378"/>
      <c r="B29" s="360"/>
      <c r="J29" s="374"/>
      <c r="K29" s="374"/>
      <c r="L29" s="374"/>
      <c r="M29" s="374"/>
      <c r="N29" s="374"/>
      <c r="O29" s="374"/>
      <c r="P29" s="374"/>
      <c r="Q29" s="374"/>
    </row>
    <row r="30" spans="1:17" ht="13.15" x14ac:dyDescent="0.3">
      <c r="A30" s="378"/>
      <c r="B30" s="360"/>
      <c r="H30" s="379"/>
      <c r="I30" s="379"/>
      <c r="J30" s="374"/>
      <c r="K30" s="374"/>
      <c r="L30" s="374"/>
      <c r="M30" s="374"/>
      <c r="N30" s="374"/>
      <c r="O30" s="374"/>
      <c r="P30" s="374"/>
      <c r="Q30" s="374"/>
    </row>
    <row r="31" spans="1:17" ht="13.15" x14ac:dyDescent="0.3">
      <c r="A31" s="378"/>
      <c r="B31" s="360"/>
      <c r="J31" s="374"/>
      <c r="K31" s="374"/>
      <c r="L31" s="374"/>
      <c r="M31" s="374"/>
      <c r="N31" s="374"/>
      <c r="O31" s="374"/>
      <c r="P31" s="374"/>
      <c r="Q31" s="374"/>
    </row>
    <row r="32" spans="1:17" ht="13.15" x14ac:dyDescent="0.3">
      <c r="A32" s="378"/>
      <c r="B32" s="360"/>
      <c r="J32" s="374"/>
      <c r="K32" s="374"/>
      <c r="L32" s="374"/>
      <c r="M32" s="374"/>
      <c r="N32" s="374"/>
      <c r="O32" s="374"/>
      <c r="P32" s="374"/>
      <c r="Q32" s="374"/>
    </row>
    <row r="33" spans="1:17" ht="13.15" x14ac:dyDescent="0.3">
      <c r="A33" s="378"/>
      <c r="B33" s="360"/>
      <c r="H33" s="379"/>
      <c r="I33" s="379"/>
      <c r="J33" s="374"/>
      <c r="K33" s="374"/>
      <c r="L33" s="374"/>
      <c r="M33" s="374"/>
      <c r="N33" s="374"/>
      <c r="O33" s="374"/>
      <c r="P33" s="374"/>
      <c r="Q33" s="374"/>
    </row>
    <row r="34" spans="1:17" ht="13.15" x14ac:dyDescent="0.3">
      <c r="A34" s="378"/>
      <c r="B34" s="363"/>
      <c r="H34" s="379"/>
      <c r="I34" s="379"/>
      <c r="J34" s="374"/>
      <c r="K34" s="374"/>
      <c r="L34" s="374"/>
      <c r="M34" s="374"/>
      <c r="N34" s="374"/>
      <c r="O34" s="374"/>
      <c r="P34" s="374"/>
      <c r="Q34" s="374"/>
    </row>
    <row r="35" spans="1:17" x14ac:dyDescent="0.25">
      <c r="A35" s="378"/>
      <c r="B35" s="360"/>
      <c r="H35" s="379"/>
      <c r="I35" s="379"/>
      <c r="J35" s="374"/>
      <c r="K35" s="374"/>
      <c r="L35" s="374"/>
      <c r="M35" s="374"/>
      <c r="N35" s="374"/>
      <c r="O35" s="374"/>
      <c r="P35" s="374"/>
      <c r="Q35" s="374"/>
    </row>
    <row r="36" spans="1:17" x14ac:dyDescent="0.25">
      <c r="A36" s="378"/>
      <c r="B36" s="360"/>
      <c r="H36" s="379"/>
      <c r="I36" s="379"/>
      <c r="J36" s="374"/>
      <c r="K36" s="374"/>
      <c r="L36" s="374"/>
      <c r="M36" s="374"/>
      <c r="N36" s="374"/>
      <c r="O36" s="374"/>
      <c r="P36" s="374"/>
      <c r="Q36" s="374"/>
    </row>
    <row r="37" spans="1:17" x14ac:dyDescent="0.25">
      <c r="A37" s="378"/>
      <c r="B37" s="360"/>
      <c r="H37" s="379"/>
      <c r="I37" s="379"/>
      <c r="J37" s="374"/>
      <c r="K37" s="374"/>
      <c r="L37" s="374"/>
      <c r="M37" s="374"/>
      <c r="N37" s="374"/>
      <c r="O37" s="374"/>
      <c r="P37" s="374"/>
      <c r="Q37" s="374"/>
    </row>
    <row r="38" spans="1:17" x14ac:dyDescent="0.25">
      <c r="A38" s="378"/>
      <c r="B38" s="360"/>
      <c r="H38" s="379"/>
      <c r="I38" s="379"/>
      <c r="J38" s="374"/>
      <c r="K38" s="374"/>
      <c r="L38" s="374"/>
      <c r="M38" s="374"/>
      <c r="N38" s="374"/>
      <c r="O38" s="374"/>
      <c r="P38" s="374"/>
      <c r="Q38" s="374"/>
    </row>
    <row r="39" spans="1:17" x14ac:dyDescent="0.25">
      <c r="A39" s="378"/>
      <c r="B39" s="360"/>
      <c r="H39" s="379"/>
      <c r="I39" s="379"/>
      <c r="J39" s="374"/>
      <c r="K39" s="374"/>
      <c r="L39" s="374"/>
      <c r="M39" s="374"/>
      <c r="N39" s="374"/>
      <c r="O39" s="374"/>
      <c r="P39" s="374"/>
      <c r="Q39" s="374"/>
    </row>
    <row r="40" spans="1:17" x14ac:dyDescent="0.25">
      <c r="A40" s="378"/>
      <c r="B40" s="360"/>
      <c r="H40" s="379"/>
      <c r="I40" s="379"/>
      <c r="J40" s="374"/>
      <c r="K40" s="374"/>
      <c r="L40" s="374"/>
      <c r="M40" s="374"/>
      <c r="N40" s="374"/>
      <c r="O40" s="374"/>
      <c r="P40" s="374"/>
      <c r="Q40" s="374"/>
    </row>
    <row r="41" spans="1:17" x14ac:dyDescent="0.25">
      <c r="A41" s="376"/>
      <c r="B41" s="360"/>
      <c r="E41" s="380"/>
      <c r="F41" s="380"/>
      <c r="G41" s="374"/>
      <c r="H41" s="374"/>
      <c r="I41" s="374"/>
      <c r="J41" s="374"/>
      <c r="K41" s="374"/>
      <c r="L41" s="374"/>
      <c r="M41" s="374"/>
      <c r="N41" s="374"/>
      <c r="O41" s="374"/>
      <c r="P41" s="374"/>
      <c r="Q41" s="374"/>
    </row>
    <row r="42" spans="1:17" x14ac:dyDescent="0.25">
      <c r="A42" s="376"/>
      <c r="B42" s="360"/>
      <c r="E42" s="380"/>
      <c r="F42" s="380"/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</row>
    <row r="43" spans="1:17" x14ac:dyDescent="0.25">
      <c r="B43" s="360"/>
      <c r="E43" s="380"/>
      <c r="F43" s="380"/>
      <c r="G43" s="374"/>
      <c r="H43" s="374"/>
      <c r="I43" s="374"/>
      <c r="J43" s="374"/>
      <c r="K43" s="374"/>
      <c r="L43" s="374"/>
      <c r="M43" s="374"/>
      <c r="N43" s="374"/>
      <c r="O43" s="374"/>
      <c r="P43" s="374"/>
      <c r="Q43" s="374"/>
    </row>
    <row r="44" spans="1:17" x14ac:dyDescent="0.25">
      <c r="B44" s="360"/>
      <c r="E44" s="380"/>
      <c r="F44" s="380"/>
      <c r="G44" s="374"/>
      <c r="H44" s="374"/>
      <c r="I44" s="374"/>
      <c r="J44" s="374"/>
      <c r="K44" s="374"/>
      <c r="L44" s="374"/>
      <c r="M44" s="374"/>
      <c r="N44" s="374"/>
      <c r="O44" s="374"/>
      <c r="P44" s="374"/>
      <c r="Q44" s="374"/>
    </row>
    <row r="45" spans="1:17" x14ac:dyDescent="0.25">
      <c r="A45" s="376"/>
      <c r="B45" s="360"/>
      <c r="E45" s="380"/>
      <c r="F45" s="380"/>
      <c r="G45" s="374"/>
      <c r="H45" s="374"/>
      <c r="I45" s="374"/>
      <c r="J45" s="374"/>
      <c r="K45" s="374"/>
      <c r="L45" s="374"/>
      <c r="M45" s="374"/>
      <c r="N45" s="374"/>
      <c r="O45" s="374"/>
      <c r="P45" s="374"/>
      <c r="Q45" s="374"/>
    </row>
    <row r="46" spans="1:17" x14ac:dyDescent="0.25">
      <c r="A46" s="376"/>
      <c r="B46" s="360"/>
      <c r="E46" s="380"/>
      <c r="F46" s="380"/>
      <c r="G46" s="374"/>
      <c r="H46" s="374"/>
      <c r="I46" s="374"/>
      <c r="J46" s="374"/>
      <c r="K46" s="374"/>
      <c r="L46" s="374"/>
      <c r="M46" s="374"/>
      <c r="N46" s="374"/>
      <c r="O46" s="374"/>
      <c r="P46" s="374"/>
      <c r="Q46" s="374"/>
    </row>
    <row r="47" spans="1:17" x14ac:dyDescent="0.25">
      <c r="A47" s="376"/>
      <c r="B47" s="360"/>
      <c r="E47" s="380"/>
      <c r="F47" s="380"/>
      <c r="G47" s="374"/>
      <c r="H47" s="374"/>
      <c r="I47" s="374"/>
      <c r="J47" s="374"/>
      <c r="K47" s="374"/>
      <c r="L47" s="374"/>
      <c r="M47" s="374"/>
      <c r="N47" s="374"/>
      <c r="O47" s="374"/>
      <c r="P47" s="374"/>
      <c r="Q47" s="374"/>
    </row>
    <row r="48" spans="1:17" x14ac:dyDescent="0.25">
      <c r="A48" s="376"/>
      <c r="B48" s="360"/>
      <c r="E48" s="380"/>
      <c r="F48" s="380"/>
      <c r="G48" s="374"/>
      <c r="H48" s="374"/>
      <c r="I48" s="374"/>
      <c r="J48" s="374"/>
      <c r="K48" s="374"/>
      <c r="L48" s="374"/>
      <c r="M48" s="374"/>
      <c r="N48" s="374"/>
      <c r="O48" s="374"/>
      <c r="P48" s="374"/>
      <c r="Q48" s="374"/>
    </row>
    <row r="49" spans="1:17" x14ac:dyDescent="0.25">
      <c r="A49" s="376"/>
      <c r="B49" s="360"/>
      <c r="E49" s="380"/>
      <c r="F49" s="380"/>
      <c r="G49" s="374"/>
      <c r="H49" s="374"/>
      <c r="I49" s="374"/>
      <c r="J49" s="374"/>
      <c r="K49" s="374"/>
      <c r="L49" s="374"/>
      <c r="M49" s="374"/>
      <c r="N49" s="374"/>
      <c r="O49" s="374"/>
      <c r="P49" s="374"/>
      <c r="Q49" s="374"/>
    </row>
    <row r="50" spans="1:17" x14ac:dyDescent="0.25">
      <c r="A50" s="376"/>
      <c r="B50" s="360"/>
      <c r="E50" s="380"/>
      <c r="F50" s="380"/>
      <c r="G50" s="374"/>
      <c r="H50" s="374"/>
      <c r="I50" s="374"/>
      <c r="J50" s="374"/>
      <c r="K50" s="374"/>
      <c r="L50" s="374"/>
      <c r="M50" s="374"/>
      <c r="N50" s="374"/>
      <c r="O50" s="374"/>
      <c r="P50" s="374"/>
      <c r="Q50" s="374"/>
    </row>
    <row r="51" spans="1:17" x14ac:dyDescent="0.25">
      <c r="A51" s="376"/>
      <c r="E51" s="380"/>
      <c r="F51" s="380"/>
      <c r="G51" s="374"/>
      <c r="H51" s="374"/>
      <c r="I51" s="374"/>
      <c r="J51" s="374"/>
      <c r="K51" s="374"/>
      <c r="L51" s="374"/>
      <c r="M51" s="374"/>
      <c r="N51" s="374"/>
      <c r="O51" s="374"/>
      <c r="P51" s="374"/>
      <c r="Q51" s="374"/>
    </row>
    <row r="52" spans="1:17" x14ac:dyDescent="0.25">
      <c r="A52" s="376"/>
      <c r="E52" s="380"/>
      <c r="F52" s="380"/>
      <c r="G52" s="374"/>
      <c r="H52" s="374"/>
      <c r="I52" s="374"/>
      <c r="J52" s="374"/>
      <c r="K52" s="374"/>
      <c r="L52" s="374"/>
      <c r="M52" s="374"/>
      <c r="N52" s="374"/>
      <c r="O52" s="374"/>
      <c r="P52" s="374"/>
      <c r="Q52" s="374"/>
    </row>
    <row r="53" spans="1:17" x14ac:dyDescent="0.25">
      <c r="A53" s="376"/>
      <c r="B53" s="360"/>
      <c r="E53" s="380"/>
      <c r="F53" s="380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</row>
    <row r="54" spans="1:17" x14ac:dyDescent="0.25">
      <c r="A54" s="376"/>
      <c r="E54" s="380"/>
      <c r="F54" s="380"/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</row>
    <row r="55" spans="1:17" x14ac:dyDescent="0.25">
      <c r="A55" s="376"/>
      <c r="E55" s="380"/>
      <c r="F55" s="380"/>
      <c r="G55" s="374"/>
      <c r="H55" s="374"/>
      <c r="I55" s="374"/>
      <c r="J55" s="374"/>
      <c r="K55" s="374"/>
      <c r="L55" s="374"/>
      <c r="M55" s="374"/>
      <c r="N55" s="374"/>
      <c r="O55" s="374"/>
      <c r="P55" s="374"/>
      <c r="Q55" s="374"/>
    </row>
    <row r="56" spans="1:17" x14ac:dyDescent="0.25">
      <c r="A56" s="376"/>
      <c r="E56" s="380"/>
      <c r="F56" s="380"/>
      <c r="G56" s="374"/>
      <c r="H56" s="374"/>
      <c r="I56" s="374"/>
      <c r="J56" s="374"/>
      <c r="K56" s="374"/>
      <c r="L56" s="374"/>
      <c r="M56" s="374"/>
      <c r="N56" s="374"/>
      <c r="O56" s="374"/>
      <c r="P56" s="374"/>
      <c r="Q56" s="374"/>
    </row>
    <row r="57" spans="1:17" x14ac:dyDescent="0.25">
      <c r="A57" s="376"/>
      <c r="E57" s="380"/>
      <c r="F57" s="380"/>
      <c r="G57" s="374"/>
      <c r="H57" s="374"/>
      <c r="I57" s="374"/>
      <c r="J57" s="374"/>
      <c r="K57" s="374"/>
      <c r="L57" s="374"/>
      <c r="M57" s="374"/>
      <c r="N57" s="374"/>
      <c r="O57" s="374"/>
      <c r="P57" s="374"/>
      <c r="Q57" s="374"/>
    </row>
    <row r="58" spans="1:17" x14ac:dyDescent="0.25">
      <c r="A58" s="376"/>
      <c r="E58" s="380"/>
      <c r="F58" s="380"/>
      <c r="G58" s="374"/>
      <c r="H58" s="374"/>
      <c r="I58" s="374"/>
      <c r="J58" s="374"/>
      <c r="K58" s="374"/>
      <c r="L58" s="374"/>
      <c r="M58" s="374"/>
      <c r="N58" s="374"/>
      <c r="O58" s="374"/>
      <c r="P58" s="374"/>
      <c r="Q58" s="374"/>
    </row>
    <row r="59" spans="1:17" x14ac:dyDescent="0.25">
      <c r="A59" s="376"/>
      <c r="E59" s="380"/>
      <c r="F59" s="380"/>
      <c r="G59" s="374"/>
      <c r="H59" s="374"/>
      <c r="I59" s="374"/>
      <c r="J59" s="374"/>
      <c r="K59" s="374"/>
      <c r="L59" s="374"/>
      <c r="M59" s="374"/>
      <c r="N59" s="374"/>
      <c r="O59" s="374"/>
      <c r="P59" s="374"/>
      <c r="Q59" s="374"/>
    </row>
    <row r="60" spans="1:17" x14ac:dyDescent="0.25">
      <c r="A60" s="376"/>
      <c r="E60" s="380"/>
      <c r="F60" s="380"/>
      <c r="G60" s="374"/>
      <c r="H60" s="374"/>
      <c r="I60" s="374"/>
      <c r="J60" s="374"/>
      <c r="K60" s="374"/>
      <c r="L60" s="374"/>
      <c r="M60" s="374"/>
      <c r="N60" s="374"/>
      <c r="O60" s="374"/>
      <c r="P60" s="374"/>
      <c r="Q60" s="374"/>
    </row>
    <row r="61" spans="1:17" x14ac:dyDescent="0.25">
      <c r="B61" s="360"/>
      <c r="E61" s="380"/>
      <c r="F61" s="380"/>
      <c r="G61" s="374"/>
      <c r="H61" s="374"/>
      <c r="I61" s="374"/>
      <c r="J61" s="374"/>
      <c r="K61" s="374"/>
      <c r="L61" s="374"/>
      <c r="M61" s="374"/>
      <c r="N61" s="374"/>
      <c r="O61" s="374"/>
      <c r="P61" s="374"/>
      <c r="Q61" s="374"/>
    </row>
    <row r="62" spans="1:17" x14ac:dyDescent="0.25">
      <c r="B62" s="360"/>
      <c r="E62" s="380"/>
      <c r="F62" s="380"/>
      <c r="G62" s="374"/>
      <c r="H62" s="374"/>
      <c r="I62" s="374"/>
      <c r="J62" s="374"/>
      <c r="K62" s="374"/>
      <c r="L62" s="374"/>
      <c r="M62" s="374"/>
      <c r="N62" s="374"/>
      <c r="O62" s="374"/>
      <c r="P62" s="374"/>
      <c r="Q62" s="374"/>
    </row>
    <row r="63" spans="1:17" x14ac:dyDescent="0.25">
      <c r="B63" s="360"/>
      <c r="E63" s="380"/>
      <c r="F63" s="380"/>
      <c r="G63" s="374"/>
      <c r="H63" s="374"/>
      <c r="I63" s="374"/>
      <c r="J63" s="374"/>
      <c r="K63" s="374"/>
      <c r="L63" s="374"/>
      <c r="M63" s="374"/>
      <c r="N63" s="374"/>
      <c r="O63" s="374"/>
      <c r="P63" s="374"/>
      <c r="Q63" s="374"/>
    </row>
    <row r="64" spans="1:17" x14ac:dyDescent="0.25">
      <c r="A64" s="376"/>
      <c r="B64" s="360"/>
      <c r="E64" s="380"/>
      <c r="F64" s="380"/>
      <c r="G64" s="374"/>
      <c r="H64" s="374"/>
      <c r="I64" s="374"/>
      <c r="J64" s="374"/>
      <c r="K64" s="374"/>
      <c r="L64" s="374"/>
      <c r="M64" s="374"/>
      <c r="N64" s="374"/>
      <c r="O64" s="374"/>
      <c r="P64" s="374"/>
      <c r="Q64" s="374"/>
    </row>
    <row r="65" spans="1:18" x14ac:dyDescent="0.25">
      <c r="A65" s="376"/>
      <c r="B65" s="360"/>
      <c r="E65" s="380"/>
      <c r="F65" s="380"/>
      <c r="G65" s="374"/>
      <c r="H65" s="374"/>
      <c r="I65" s="374"/>
      <c r="J65" s="374"/>
      <c r="K65" s="374"/>
      <c r="L65" s="374"/>
      <c r="M65" s="374"/>
      <c r="N65" s="374"/>
      <c r="O65" s="374"/>
      <c r="P65" s="374"/>
      <c r="Q65" s="374"/>
    </row>
    <row r="66" spans="1:18" x14ac:dyDescent="0.25">
      <c r="A66" s="376"/>
      <c r="B66" s="360"/>
      <c r="E66" s="380"/>
      <c r="F66" s="380"/>
      <c r="G66" s="374"/>
      <c r="H66" s="374"/>
      <c r="I66" s="374"/>
      <c r="J66" s="374"/>
      <c r="K66" s="374"/>
      <c r="L66" s="374"/>
      <c r="M66" s="374"/>
      <c r="N66" s="374"/>
      <c r="O66" s="374"/>
      <c r="P66" s="374"/>
      <c r="Q66" s="374"/>
    </row>
    <row r="67" spans="1:18" x14ac:dyDescent="0.25">
      <c r="A67" s="376"/>
      <c r="B67" s="360"/>
      <c r="E67" s="380"/>
      <c r="F67" s="380"/>
      <c r="G67" s="374"/>
      <c r="H67" s="374"/>
      <c r="I67" s="374"/>
      <c r="J67" s="374"/>
      <c r="K67" s="374"/>
      <c r="L67" s="374"/>
      <c r="M67" s="374"/>
      <c r="N67" s="374"/>
      <c r="O67" s="374"/>
      <c r="P67" s="374"/>
      <c r="Q67" s="374"/>
    </row>
    <row r="68" spans="1:18" x14ac:dyDescent="0.25">
      <c r="A68" s="376"/>
      <c r="B68" s="360"/>
      <c r="E68" s="380"/>
      <c r="F68" s="380"/>
      <c r="G68" s="374"/>
      <c r="H68" s="374"/>
      <c r="I68" s="374"/>
      <c r="J68" s="374"/>
      <c r="K68" s="374"/>
      <c r="L68" s="374"/>
      <c r="M68" s="374"/>
      <c r="N68" s="374"/>
      <c r="O68" s="374"/>
      <c r="P68" s="374"/>
      <c r="Q68" s="374"/>
    </row>
    <row r="69" spans="1:18" x14ac:dyDescent="0.25">
      <c r="A69" s="376"/>
      <c r="B69" s="360"/>
      <c r="E69" s="380"/>
      <c r="F69" s="380"/>
      <c r="G69" s="374"/>
      <c r="H69" s="374"/>
      <c r="I69" s="374"/>
      <c r="J69" s="374"/>
      <c r="K69" s="374"/>
      <c r="L69" s="374"/>
      <c r="M69" s="374"/>
      <c r="N69" s="374"/>
      <c r="O69" s="374"/>
      <c r="P69" s="374"/>
      <c r="Q69" s="374"/>
    </row>
    <row r="70" spans="1:18" x14ac:dyDescent="0.25">
      <c r="A70" s="376"/>
      <c r="B70" s="360"/>
      <c r="E70" s="380"/>
      <c r="F70" s="380"/>
      <c r="G70" s="374"/>
      <c r="H70" s="374"/>
      <c r="I70" s="374"/>
      <c r="J70" s="374"/>
      <c r="K70" s="374"/>
      <c r="L70" s="374"/>
      <c r="M70" s="374"/>
      <c r="N70" s="374"/>
      <c r="O70" s="374"/>
      <c r="P70" s="374"/>
      <c r="Q70" s="374"/>
    </row>
    <row r="71" spans="1:18" x14ac:dyDescent="0.25">
      <c r="A71" s="376"/>
      <c r="B71" s="360"/>
      <c r="E71" s="380"/>
      <c r="F71" s="380"/>
      <c r="G71" s="374"/>
      <c r="H71" s="374"/>
      <c r="I71" s="374"/>
      <c r="J71" s="374"/>
      <c r="K71" s="374"/>
      <c r="L71" s="374"/>
      <c r="M71" s="374"/>
      <c r="N71" s="374"/>
      <c r="O71" s="374"/>
      <c r="P71" s="374"/>
      <c r="Q71" s="374"/>
    </row>
    <row r="72" spans="1:18" x14ac:dyDescent="0.25">
      <c r="B72" s="360"/>
      <c r="E72" s="380"/>
      <c r="F72" s="380"/>
      <c r="G72" s="374"/>
      <c r="H72" s="374"/>
      <c r="I72" s="374"/>
      <c r="J72" s="374"/>
      <c r="K72" s="374"/>
      <c r="L72" s="374"/>
      <c r="M72" s="374"/>
      <c r="N72" s="374"/>
      <c r="O72" s="374"/>
      <c r="P72" s="374"/>
      <c r="Q72" s="374"/>
    </row>
    <row r="73" spans="1:18" x14ac:dyDescent="0.25">
      <c r="C73" s="381"/>
      <c r="D73" s="775"/>
      <c r="E73" s="382"/>
    </row>
    <row r="74" spans="1:18" s="375" customFormat="1" x14ac:dyDescent="0.25">
      <c r="A74" s="376"/>
      <c r="B74" s="373"/>
      <c r="C74" s="381"/>
      <c r="D74" s="775"/>
      <c r="E74" s="382"/>
      <c r="G74" s="360"/>
      <c r="H74" s="360"/>
      <c r="I74" s="360"/>
      <c r="J74" s="360"/>
      <c r="K74" s="360"/>
      <c r="L74" s="360"/>
      <c r="M74" s="360"/>
      <c r="N74" s="360"/>
      <c r="O74" s="360"/>
      <c r="P74" s="360"/>
      <c r="Q74" s="360"/>
      <c r="R74" s="360"/>
    </row>
    <row r="75" spans="1:18" s="375" customFormat="1" x14ac:dyDescent="0.25">
      <c r="A75" s="376"/>
      <c r="B75" s="373"/>
      <c r="C75" s="381"/>
      <c r="D75" s="775"/>
      <c r="E75" s="382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</row>
    <row r="76" spans="1:18" s="375" customFormat="1" x14ac:dyDescent="0.25">
      <c r="A76" s="376"/>
      <c r="B76" s="373"/>
      <c r="C76" s="381"/>
      <c r="D76" s="775"/>
      <c r="E76" s="382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</row>
    <row r="77" spans="1:18" s="375" customFormat="1" x14ac:dyDescent="0.25">
      <c r="A77" s="376"/>
      <c r="B77" s="360"/>
      <c r="C77" s="381"/>
      <c r="D77" s="775"/>
      <c r="E77" s="382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</row>
    <row r="78" spans="1:18" s="375" customFormat="1" x14ac:dyDescent="0.25">
      <c r="A78" s="376"/>
      <c r="B78" s="360"/>
      <c r="C78" s="381"/>
      <c r="D78" s="775"/>
      <c r="E78" s="382"/>
      <c r="G78" s="360"/>
      <c r="H78" s="360"/>
      <c r="I78" s="360"/>
      <c r="J78" s="360"/>
      <c r="K78" s="360"/>
      <c r="L78" s="360"/>
      <c r="M78" s="360"/>
      <c r="N78" s="360"/>
      <c r="O78" s="360"/>
      <c r="P78" s="360"/>
      <c r="Q78" s="360"/>
      <c r="R78" s="360"/>
    </row>
    <row r="79" spans="1:18" s="375" customFormat="1" x14ac:dyDescent="0.25">
      <c r="A79" s="376"/>
      <c r="B79" s="360"/>
      <c r="C79" s="381"/>
      <c r="D79" s="775"/>
      <c r="E79" s="382"/>
      <c r="G79" s="360"/>
      <c r="H79" s="360"/>
      <c r="I79" s="360"/>
      <c r="J79" s="360"/>
      <c r="K79" s="360"/>
      <c r="L79" s="360"/>
      <c r="M79" s="360"/>
      <c r="N79" s="360"/>
      <c r="O79" s="360"/>
      <c r="P79" s="360"/>
      <c r="Q79" s="360"/>
      <c r="R79" s="360"/>
    </row>
    <row r="80" spans="1:18" s="375" customFormat="1" x14ac:dyDescent="0.25">
      <c r="A80" s="376"/>
      <c r="B80" s="373"/>
      <c r="C80" s="374"/>
      <c r="D80" s="774"/>
      <c r="E80" s="382"/>
      <c r="G80" s="360"/>
      <c r="H80" s="360"/>
      <c r="I80" s="360"/>
      <c r="J80" s="360"/>
      <c r="K80" s="360"/>
      <c r="L80" s="360"/>
      <c r="M80" s="360"/>
      <c r="N80" s="360"/>
      <c r="O80" s="360"/>
      <c r="P80" s="360"/>
      <c r="Q80" s="360"/>
      <c r="R80" s="360"/>
    </row>
    <row r="81" spans="1:18" s="375" customFormat="1" x14ac:dyDescent="0.25">
      <c r="A81" s="376"/>
      <c r="B81" s="373"/>
      <c r="C81" s="374"/>
      <c r="D81" s="774"/>
      <c r="E81" s="382"/>
      <c r="G81" s="360"/>
      <c r="H81" s="360"/>
      <c r="I81" s="360"/>
      <c r="J81" s="360"/>
      <c r="K81" s="360"/>
      <c r="L81" s="360"/>
      <c r="M81" s="360"/>
      <c r="N81" s="360"/>
      <c r="O81" s="360"/>
      <c r="P81" s="360"/>
      <c r="Q81" s="360"/>
      <c r="R81" s="360"/>
    </row>
    <row r="82" spans="1:18" s="375" customFormat="1" x14ac:dyDescent="0.25">
      <c r="A82" s="376"/>
      <c r="B82" s="373"/>
      <c r="C82" s="381"/>
      <c r="D82" s="775"/>
      <c r="E82" s="382"/>
      <c r="G82" s="360"/>
      <c r="H82" s="360"/>
      <c r="I82" s="360"/>
      <c r="J82" s="360"/>
      <c r="K82" s="360"/>
      <c r="L82" s="360"/>
      <c r="M82" s="360"/>
      <c r="N82" s="360"/>
      <c r="O82" s="360"/>
      <c r="P82" s="360"/>
      <c r="Q82" s="360"/>
      <c r="R82" s="360"/>
    </row>
    <row r="83" spans="1:18" s="375" customFormat="1" x14ac:dyDescent="0.25">
      <c r="A83" s="376"/>
      <c r="B83" s="360"/>
      <c r="C83" s="381"/>
      <c r="D83" s="775"/>
      <c r="E83" s="382"/>
      <c r="G83" s="360"/>
      <c r="H83" s="360"/>
      <c r="I83" s="360"/>
      <c r="J83" s="360"/>
      <c r="K83" s="360"/>
      <c r="L83" s="360"/>
      <c r="M83" s="360"/>
      <c r="N83" s="360"/>
      <c r="O83" s="360"/>
      <c r="P83" s="360"/>
      <c r="Q83" s="360"/>
      <c r="R83" s="360"/>
    </row>
    <row r="84" spans="1:18" s="375" customFormat="1" x14ac:dyDescent="0.25">
      <c r="A84" s="376"/>
      <c r="B84" s="373"/>
      <c r="C84" s="381"/>
      <c r="D84" s="775"/>
      <c r="E84" s="382"/>
      <c r="G84" s="360"/>
      <c r="H84" s="360"/>
      <c r="I84" s="360"/>
      <c r="J84" s="360"/>
      <c r="K84" s="360"/>
      <c r="L84" s="360"/>
      <c r="M84" s="360"/>
      <c r="N84" s="360"/>
      <c r="O84" s="360"/>
      <c r="P84" s="360"/>
      <c r="Q84" s="360"/>
      <c r="R84" s="360"/>
    </row>
    <row r="85" spans="1:18" s="375" customFormat="1" x14ac:dyDescent="0.25">
      <c r="A85" s="376"/>
      <c r="B85" s="360"/>
      <c r="C85" s="381"/>
      <c r="D85" s="775"/>
      <c r="E85" s="382"/>
      <c r="G85" s="360"/>
      <c r="H85" s="360"/>
      <c r="I85" s="360"/>
      <c r="J85" s="360"/>
      <c r="K85" s="360"/>
      <c r="L85" s="360"/>
      <c r="M85" s="360"/>
      <c r="N85" s="360"/>
      <c r="O85" s="360"/>
      <c r="P85" s="360"/>
      <c r="Q85" s="360"/>
      <c r="R85" s="360"/>
    </row>
    <row r="86" spans="1:18" s="375" customFormat="1" x14ac:dyDescent="0.25">
      <c r="A86" s="376"/>
      <c r="B86" s="373"/>
      <c r="C86" s="381"/>
      <c r="D86" s="775"/>
      <c r="E86" s="382"/>
      <c r="G86" s="360"/>
      <c r="H86" s="360"/>
      <c r="I86" s="360"/>
      <c r="J86" s="360"/>
      <c r="K86" s="360"/>
      <c r="L86" s="360"/>
      <c r="M86" s="360"/>
      <c r="N86" s="360"/>
      <c r="O86" s="360"/>
      <c r="P86" s="360"/>
      <c r="Q86" s="360"/>
      <c r="R86" s="360"/>
    </row>
    <row r="87" spans="1:18" s="375" customFormat="1" x14ac:dyDescent="0.25">
      <c r="A87" s="376"/>
      <c r="B87" s="373"/>
      <c r="C87" s="381"/>
      <c r="D87" s="775"/>
      <c r="E87" s="382"/>
      <c r="G87" s="360"/>
      <c r="H87" s="360"/>
      <c r="I87" s="360"/>
      <c r="J87" s="360"/>
      <c r="K87" s="360"/>
      <c r="L87" s="360"/>
      <c r="M87" s="360"/>
      <c r="N87" s="360"/>
      <c r="O87" s="360"/>
      <c r="P87" s="360"/>
      <c r="Q87" s="360"/>
      <c r="R87" s="360"/>
    </row>
    <row r="88" spans="1:18" s="375" customFormat="1" x14ac:dyDescent="0.25">
      <c r="A88" s="360"/>
      <c r="B88" s="373"/>
      <c r="C88" s="381"/>
      <c r="D88" s="775"/>
      <c r="E88" s="382"/>
      <c r="G88" s="360"/>
      <c r="H88" s="360"/>
      <c r="I88" s="360"/>
      <c r="J88" s="360"/>
      <c r="K88" s="360"/>
      <c r="L88" s="360"/>
      <c r="M88" s="360"/>
      <c r="N88" s="360"/>
      <c r="O88" s="360"/>
      <c r="P88" s="360"/>
      <c r="Q88" s="360"/>
      <c r="R88" s="360"/>
    </row>
    <row r="89" spans="1:18" s="375" customFormat="1" x14ac:dyDescent="0.25">
      <c r="A89" s="360"/>
      <c r="B89" s="373"/>
      <c r="C89" s="381"/>
      <c r="D89" s="775"/>
      <c r="E89" s="382"/>
      <c r="G89" s="360"/>
      <c r="H89" s="360"/>
      <c r="I89" s="360"/>
      <c r="J89" s="360"/>
      <c r="K89" s="360"/>
      <c r="L89" s="360"/>
      <c r="M89" s="360"/>
      <c r="N89" s="360"/>
      <c r="O89" s="360"/>
      <c r="P89" s="360"/>
      <c r="Q89" s="360"/>
      <c r="R89" s="360"/>
    </row>
    <row r="90" spans="1:18" x14ac:dyDescent="0.25">
      <c r="C90" s="381"/>
      <c r="D90" s="775"/>
      <c r="E90" s="382"/>
    </row>
    <row r="91" spans="1:18" x14ac:dyDescent="0.25">
      <c r="C91" s="381"/>
      <c r="D91" s="775"/>
      <c r="E91" s="382"/>
    </row>
    <row r="92" spans="1:18" x14ac:dyDescent="0.25">
      <c r="C92" s="381"/>
      <c r="D92" s="775"/>
      <c r="E92" s="382"/>
    </row>
    <row r="93" spans="1:18" x14ac:dyDescent="0.25">
      <c r="C93" s="381"/>
      <c r="D93" s="775"/>
      <c r="E93" s="382"/>
    </row>
    <row r="94" spans="1:18" x14ac:dyDescent="0.25">
      <c r="C94" s="381"/>
      <c r="D94" s="775"/>
      <c r="E94" s="382"/>
    </row>
    <row r="95" spans="1:18" x14ac:dyDescent="0.25">
      <c r="C95" s="381"/>
      <c r="D95" s="775"/>
      <c r="E95" s="382"/>
    </row>
    <row r="96" spans="1:18" x14ac:dyDescent="0.25">
      <c r="C96" s="381"/>
      <c r="D96" s="775"/>
      <c r="E96" s="382"/>
    </row>
    <row r="97" spans="1:17" x14ac:dyDescent="0.25">
      <c r="C97" s="381"/>
      <c r="D97" s="775"/>
      <c r="E97" s="382"/>
    </row>
    <row r="98" spans="1:17" x14ac:dyDescent="0.25">
      <c r="B98" s="360"/>
      <c r="C98" s="381"/>
      <c r="D98" s="775"/>
      <c r="E98" s="382"/>
    </row>
    <row r="99" spans="1:17" x14ac:dyDescent="0.25">
      <c r="A99" s="383"/>
      <c r="B99" s="360"/>
      <c r="C99" s="384"/>
      <c r="D99" s="776"/>
      <c r="E99" s="380"/>
      <c r="G99" s="385"/>
      <c r="H99" s="385"/>
      <c r="I99" s="385"/>
      <c r="J99" s="385"/>
      <c r="K99" s="385"/>
      <c r="L99" s="385"/>
      <c r="M99" s="385"/>
      <c r="N99" s="385"/>
      <c r="O99" s="385"/>
      <c r="P99" s="385"/>
      <c r="Q99" s="385"/>
    </row>
    <row r="100" spans="1:17" x14ac:dyDescent="0.25">
      <c r="A100" s="383"/>
      <c r="B100" s="386"/>
      <c r="C100" s="384"/>
      <c r="D100" s="776"/>
      <c r="E100" s="380"/>
      <c r="F100" s="380"/>
      <c r="G100" s="387"/>
      <c r="H100" s="387"/>
      <c r="I100" s="387"/>
      <c r="J100" s="387"/>
      <c r="K100" s="387"/>
      <c r="L100" s="387"/>
      <c r="M100" s="387"/>
      <c r="N100" s="387"/>
      <c r="O100" s="387"/>
      <c r="P100" s="387"/>
      <c r="Q100" s="387"/>
    </row>
    <row r="101" spans="1:17" x14ac:dyDescent="0.25">
      <c r="A101" s="383"/>
      <c r="B101" s="386"/>
      <c r="C101" s="384"/>
      <c r="D101" s="776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  <c r="Q101" s="385"/>
    </row>
    <row r="102" spans="1:17" x14ac:dyDescent="0.25">
      <c r="A102" s="383"/>
      <c r="B102" s="386"/>
      <c r="C102" s="384"/>
      <c r="D102" s="776"/>
      <c r="G102" s="385"/>
      <c r="H102" s="385"/>
      <c r="I102" s="385"/>
      <c r="J102" s="385"/>
      <c r="K102" s="385"/>
      <c r="L102" s="385"/>
      <c r="M102" s="385"/>
      <c r="N102" s="385"/>
      <c r="O102" s="385"/>
      <c r="P102" s="385"/>
      <c r="Q102" s="385"/>
    </row>
    <row r="103" spans="1:17" x14ac:dyDescent="0.25">
      <c r="A103" s="383"/>
      <c r="C103" s="384"/>
      <c r="D103" s="776"/>
      <c r="G103" s="385"/>
      <c r="H103" s="385"/>
      <c r="I103" s="385"/>
      <c r="J103" s="385"/>
      <c r="K103" s="385"/>
      <c r="L103" s="385"/>
      <c r="M103" s="385"/>
      <c r="N103" s="385"/>
      <c r="O103" s="385"/>
      <c r="P103" s="385"/>
      <c r="Q103" s="385"/>
    </row>
    <row r="104" spans="1:17" x14ac:dyDescent="0.25">
      <c r="A104" s="383"/>
      <c r="C104" s="384"/>
      <c r="D104" s="776"/>
      <c r="G104" s="385"/>
      <c r="H104" s="385"/>
      <c r="I104" s="385"/>
      <c r="J104" s="385"/>
      <c r="K104" s="385"/>
      <c r="L104" s="385"/>
      <c r="M104" s="385"/>
      <c r="N104" s="385"/>
      <c r="O104" s="385"/>
      <c r="P104" s="385"/>
      <c r="Q104" s="385"/>
    </row>
    <row r="105" spans="1:17" x14ac:dyDescent="0.25">
      <c r="A105" s="383"/>
      <c r="B105" s="388"/>
      <c r="C105" s="384"/>
      <c r="D105" s="776"/>
      <c r="G105" s="385"/>
      <c r="H105" s="385"/>
      <c r="I105" s="385"/>
      <c r="J105" s="385"/>
      <c r="K105" s="385"/>
      <c r="L105" s="385"/>
      <c r="M105" s="385"/>
      <c r="N105" s="385"/>
      <c r="O105" s="385"/>
      <c r="P105" s="385"/>
      <c r="Q105" s="385"/>
    </row>
    <row r="106" spans="1:17" x14ac:dyDescent="0.25">
      <c r="A106" s="383"/>
      <c r="C106" s="384"/>
      <c r="D106" s="776"/>
      <c r="G106" s="385"/>
      <c r="H106" s="385"/>
      <c r="I106" s="385"/>
      <c r="J106" s="385"/>
      <c r="K106" s="385"/>
      <c r="L106" s="385"/>
      <c r="M106" s="385"/>
      <c r="N106" s="385"/>
      <c r="O106" s="385"/>
      <c r="P106" s="385"/>
      <c r="Q106" s="385"/>
    </row>
    <row r="107" spans="1:17" x14ac:dyDescent="0.25">
      <c r="A107" s="383"/>
      <c r="B107" s="386"/>
      <c r="C107" s="384"/>
      <c r="D107" s="776"/>
      <c r="G107" s="385"/>
      <c r="H107" s="385"/>
      <c r="I107" s="385"/>
      <c r="J107" s="385"/>
      <c r="K107" s="385"/>
      <c r="L107" s="385"/>
      <c r="M107" s="385"/>
      <c r="N107" s="385"/>
      <c r="O107" s="385"/>
      <c r="P107" s="385"/>
      <c r="Q107" s="385"/>
    </row>
    <row r="108" spans="1:17" x14ac:dyDescent="0.25">
      <c r="A108" s="383"/>
      <c r="B108" s="386"/>
      <c r="C108" s="384"/>
      <c r="D108" s="776"/>
      <c r="G108" s="385"/>
      <c r="H108" s="385"/>
      <c r="I108" s="385"/>
      <c r="J108" s="385"/>
      <c r="K108" s="385"/>
      <c r="L108" s="385"/>
      <c r="M108" s="385"/>
      <c r="N108" s="385"/>
      <c r="O108" s="385"/>
      <c r="P108" s="385"/>
      <c r="Q108" s="385"/>
    </row>
    <row r="109" spans="1:17" x14ac:dyDescent="0.25">
      <c r="A109" s="383"/>
      <c r="B109" s="386"/>
      <c r="C109" s="384"/>
      <c r="D109" s="776"/>
      <c r="G109" s="385"/>
      <c r="H109" s="385"/>
      <c r="I109" s="385"/>
      <c r="J109" s="385"/>
      <c r="K109" s="385"/>
      <c r="L109" s="385"/>
      <c r="M109" s="385"/>
      <c r="N109" s="385"/>
      <c r="O109" s="385"/>
      <c r="P109" s="385"/>
      <c r="Q109" s="385"/>
    </row>
    <row r="110" spans="1:17" x14ac:dyDescent="0.25">
      <c r="A110" s="383"/>
      <c r="B110" s="386"/>
      <c r="C110" s="384"/>
      <c r="D110" s="776"/>
      <c r="G110" s="385"/>
      <c r="H110" s="385"/>
      <c r="I110" s="385"/>
      <c r="J110" s="385"/>
      <c r="K110" s="385"/>
      <c r="L110" s="385"/>
      <c r="M110" s="385"/>
      <c r="N110" s="385"/>
      <c r="O110" s="385"/>
      <c r="P110" s="385"/>
      <c r="Q110" s="385"/>
    </row>
    <row r="111" spans="1:17" x14ac:dyDescent="0.25">
      <c r="A111" s="383"/>
      <c r="B111" s="386"/>
      <c r="C111" s="384"/>
      <c r="D111" s="776"/>
      <c r="G111" s="385"/>
      <c r="H111" s="385"/>
      <c r="I111" s="385"/>
      <c r="J111" s="385"/>
      <c r="K111" s="385"/>
      <c r="L111" s="385"/>
      <c r="M111" s="385"/>
      <c r="N111" s="385"/>
      <c r="O111" s="385"/>
      <c r="P111" s="385"/>
      <c r="Q111" s="385"/>
    </row>
    <row r="112" spans="1:17" x14ac:dyDescent="0.25">
      <c r="A112" s="383"/>
      <c r="B112" s="386"/>
      <c r="C112" s="384"/>
      <c r="D112" s="776"/>
      <c r="G112" s="385"/>
      <c r="H112" s="385"/>
      <c r="I112" s="385"/>
      <c r="J112" s="385"/>
      <c r="K112" s="385"/>
      <c r="L112" s="385"/>
      <c r="M112" s="385"/>
      <c r="N112" s="385"/>
      <c r="O112" s="385"/>
      <c r="P112" s="385"/>
      <c r="Q112" s="385"/>
    </row>
    <row r="113" spans="2:17" x14ac:dyDescent="0.25">
      <c r="C113" s="384"/>
      <c r="D113" s="776"/>
      <c r="G113" s="385"/>
      <c r="H113" s="385"/>
      <c r="I113" s="385"/>
      <c r="J113" s="385"/>
      <c r="K113" s="385"/>
      <c r="L113" s="385"/>
      <c r="M113" s="385"/>
      <c r="N113" s="385"/>
      <c r="O113" s="385"/>
      <c r="P113" s="385"/>
      <c r="Q113" s="385"/>
    </row>
    <row r="114" spans="2:17" x14ac:dyDescent="0.25">
      <c r="B114" s="386"/>
      <c r="C114" s="384"/>
      <c r="D114" s="776"/>
      <c r="G114" s="385"/>
      <c r="H114" s="385"/>
      <c r="I114" s="385"/>
      <c r="J114" s="385"/>
      <c r="K114" s="385"/>
      <c r="L114" s="385"/>
      <c r="M114" s="385"/>
      <c r="N114" s="385"/>
      <c r="O114" s="385"/>
      <c r="P114" s="385"/>
      <c r="Q114" s="385"/>
    </row>
    <row r="115" spans="2:17" x14ac:dyDescent="0.25">
      <c r="B115" s="386"/>
      <c r="C115" s="384"/>
      <c r="D115" s="776"/>
      <c r="G115" s="385"/>
      <c r="H115" s="385"/>
      <c r="I115" s="385"/>
      <c r="J115" s="385"/>
      <c r="K115" s="385"/>
      <c r="L115" s="385"/>
      <c r="M115" s="385"/>
      <c r="N115" s="385"/>
      <c r="O115" s="385"/>
      <c r="P115" s="385"/>
      <c r="Q115" s="385"/>
    </row>
    <row r="116" spans="2:17" x14ac:dyDescent="0.25">
      <c r="B116" s="386"/>
      <c r="C116" s="384"/>
      <c r="D116" s="776"/>
      <c r="G116" s="385"/>
      <c r="H116" s="385"/>
      <c r="I116" s="385"/>
      <c r="J116" s="385"/>
      <c r="K116" s="385"/>
      <c r="L116" s="385"/>
      <c r="M116" s="385"/>
      <c r="N116" s="385"/>
      <c r="O116" s="385"/>
      <c r="P116" s="385"/>
      <c r="Q116" s="385"/>
    </row>
    <row r="117" spans="2:17" x14ac:dyDescent="0.25">
      <c r="B117" s="388"/>
      <c r="C117" s="384"/>
      <c r="D117" s="776"/>
      <c r="G117" s="385"/>
      <c r="H117" s="385"/>
      <c r="I117" s="385"/>
      <c r="J117" s="385"/>
      <c r="K117" s="385"/>
      <c r="L117" s="385"/>
      <c r="M117" s="385"/>
      <c r="N117" s="385"/>
      <c r="O117" s="385"/>
      <c r="P117" s="385"/>
      <c r="Q117" s="385"/>
    </row>
    <row r="118" spans="2:17" x14ac:dyDescent="0.25">
      <c r="B118" s="386"/>
      <c r="C118" s="384"/>
      <c r="D118" s="776"/>
      <c r="G118" s="385"/>
      <c r="H118" s="385"/>
      <c r="I118" s="385"/>
      <c r="J118" s="385"/>
      <c r="K118" s="385"/>
      <c r="L118" s="385"/>
      <c r="M118" s="385"/>
      <c r="N118" s="385"/>
      <c r="O118" s="385"/>
      <c r="P118" s="385"/>
      <c r="Q118" s="385"/>
    </row>
    <row r="119" spans="2:17" x14ac:dyDescent="0.25">
      <c r="B119" s="386"/>
      <c r="C119" s="384"/>
      <c r="D119" s="776"/>
      <c r="G119" s="385"/>
      <c r="H119" s="385"/>
      <c r="I119" s="385"/>
      <c r="J119" s="385"/>
      <c r="K119" s="385"/>
      <c r="L119" s="385"/>
      <c r="M119" s="385"/>
      <c r="N119" s="385"/>
      <c r="O119" s="385"/>
      <c r="P119" s="385"/>
      <c r="Q119" s="385"/>
    </row>
    <row r="120" spans="2:17" x14ac:dyDescent="0.25">
      <c r="B120" s="386"/>
      <c r="C120" s="384"/>
      <c r="D120" s="776"/>
      <c r="G120" s="385"/>
      <c r="H120" s="385"/>
      <c r="I120" s="385"/>
      <c r="J120" s="385"/>
      <c r="K120" s="385"/>
      <c r="L120" s="385"/>
      <c r="M120" s="385"/>
      <c r="N120" s="385"/>
      <c r="O120" s="385"/>
      <c r="P120" s="385"/>
      <c r="Q120" s="385"/>
    </row>
    <row r="121" spans="2:17" x14ac:dyDescent="0.25">
      <c r="B121" s="386"/>
      <c r="C121" s="384"/>
      <c r="D121" s="776"/>
      <c r="G121" s="385"/>
      <c r="H121" s="385"/>
      <c r="I121" s="385"/>
      <c r="J121" s="385"/>
      <c r="K121" s="385"/>
      <c r="L121" s="385"/>
      <c r="M121" s="385"/>
      <c r="N121" s="385"/>
      <c r="O121" s="385"/>
      <c r="P121" s="385"/>
      <c r="Q121" s="385"/>
    </row>
    <row r="122" spans="2:17" x14ac:dyDescent="0.25">
      <c r="B122" s="386"/>
      <c r="C122" s="384"/>
      <c r="D122" s="776"/>
      <c r="G122" s="385"/>
      <c r="H122" s="385"/>
      <c r="I122" s="385"/>
      <c r="J122" s="385"/>
      <c r="K122" s="385"/>
      <c r="L122" s="385"/>
      <c r="M122" s="385"/>
      <c r="N122" s="385"/>
      <c r="O122" s="385"/>
      <c r="P122" s="385"/>
      <c r="Q122" s="385"/>
    </row>
    <row r="123" spans="2:17" x14ac:dyDescent="0.25">
      <c r="B123" s="386"/>
      <c r="C123" s="384"/>
      <c r="D123" s="776"/>
      <c r="G123" s="385"/>
      <c r="H123" s="385"/>
      <c r="I123" s="385"/>
      <c r="J123" s="385"/>
      <c r="K123" s="385"/>
      <c r="L123" s="385"/>
      <c r="M123" s="385"/>
      <c r="N123" s="385"/>
      <c r="O123" s="385"/>
      <c r="P123" s="385"/>
      <c r="Q123" s="385"/>
    </row>
    <row r="124" spans="2:17" x14ac:dyDescent="0.25">
      <c r="B124" s="386"/>
      <c r="C124" s="384"/>
      <c r="D124" s="776"/>
      <c r="G124" s="385"/>
      <c r="H124" s="385"/>
      <c r="I124" s="385"/>
      <c r="J124" s="385"/>
      <c r="K124" s="385"/>
      <c r="L124" s="385"/>
      <c r="M124" s="385"/>
      <c r="N124" s="385"/>
      <c r="O124" s="385"/>
      <c r="P124" s="385"/>
      <c r="Q124" s="385"/>
    </row>
    <row r="125" spans="2:17" x14ac:dyDescent="0.25">
      <c r="B125" s="386"/>
      <c r="C125" s="384"/>
      <c r="D125" s="776"/>
      <c r="G125" s="385"/>
      <c r="H125" s="385"/>
      <c r="I125" s="385"/>
      <c r="J125" s="385"/>
      <c r="K125" s="385"/>
      <c r="L125" s="385"/>
      <c r="M125" s="385"/>
      <c r="N125" s="385"/>
      <c r="O125" s="385"/>
      <c r="P125" s="385"/>
      <c r="Q125" s="385"/>
    </row>
    <row r="126" spans="2:17" x14ac:dyDescent="0.25">
      <c r="B126" s="389"/>
      <c r="C126" s="384"/>
      <c r="D126" s="776"/>
      <c r="G126" s="385"/>
      <c r="H126" s="385"/>
      <c r="I126" s="385"/>
      <c r="J126" s="385"/>
      <c r="K126" s="385"/>
      <c r="L126" s="385"/>
      <c r="M126" s="385"/>
      <c r="N126" s="385"/>
      <c r="O126" s="385"/>
      <c r="P126" s="385"/>
      <c r="Q126" s="385"/>
    </row>
    <row r="127" spans="2:17" x14ac:dyDescent="0.25">
      <c r="C127" s="384"/>
      <c r="D127" s="776"/>
      <c r="G127" s="385"/>
      <c r="H127" s="385"/>
      <c r="I127" s="385"/>
      <c r="J127" s="385"/>
      <c r="K127" s="385"/>
      <c r="L127" s="385"/>
      <c r="M127" s="385"/>
      <c r="N127" s="385"/>
      <c r="O127" s="385"/>
      <c r="P127" s="385"/>
      <c r="Q127" s="385"/>
    </row>
    <row r="128" spans="2:17" x14ac:dyDescent="0.25">
      <c r="B128" s="389"/>
      <c r="C128" s="384"/>
      <c r="D128" s="776"/>
      <c r="G128" s="385"/>
      <c r="H128" s="385"/>
      <c r="I128" s="385"/>
      <c r="J128" s="385"/>
      <c r="K128" s="385"/>
      <c r="L128" s="385"/>
      <c r="M128" s="385"/>
      <c r="N128" s="385"/>
      <c r="O128" s="385"/>
      <c r="P128" s="385"/>
      <c r="Q128" s="385"/>
    </row>
    <row r="129" spans="2:17" x14ac:dyDescent="0.25">
      <c r="C129" s="384"/>
      <c r="D129" s="776"/>
      <c r="G129" s="385"/>
      <c r="H129" s="385"/>
      <c r="I129" s="385"/>
      <c r="J129" s="385"/>
      <c r="K129" s="385"/>
      <c r="L129" s="385"/>
      <c r="M129" s="385"/>
      <c r="N129" s="385"/>
      <c r="O129" s="385"/>
      <c r="P129" s="385"/>
      <c r="Q129" s="385"/>
    </row>
    <row r="130" spans="2:17" x14ac:dyDescent="0.25">
      <c r="B130" s="386"/>
      <c r="C130" s="384"/>
      <c r="D130" s="776"/>
      <c r="G130" s="385"/>
      <c r="H130" s="385"/>
      <c r="I130" s="385"/>
      <c r="J130" s="385"/>
      <c r="K130" s="385"/>
      <c r="L130" s="385"/>
      <c r="M130" s="385"/>
      <c r="N130" s="385"/>
      <c r="O130" s="385"/>
      <c r="P130" s="385"/>
      <c r="Q130" s="385"/>
    </row>
    <row r="131" spans="2:17" x14ac:dyDescent="0.25">
      <c r="B131" s="386"/>
      <c r="C131" s="384"/>
      <c r="D131" s="776"/>
      <c r="G131" s="385"/>
      <c r="H131" s="385"/>
      <c r="I131" s="385"/>
      <c r="J131" s="385"/>
      <c r="K131" s="385"/>
      <c r="L131" s="385"/>
      <c r="M131" s="385"/>
      <c r="N131" s="385"/>
      <c r="O131" s="385"/>
      <c r="P131" s="385"/>
      <c r="Q131" s="385"/>
    </row>
    <row r="132" spans="2:17" x14ac:dyDescent="0.25">
      <c r="B132" s="386"/>
      <c r="C132" s="384"/>
      <c r="D132" s="776"/>
      <c r="G132" s="385"/>
      <c r="H132" s="385"/>
      <c r="I132" s="385"/>
      <c r="J132" s="385"/>
      <c r="K132" s="385"/>
      <c r="L132" s="385"/>
      <c r="M132" s="385"/>
      <c r="N132" s="385"/>
      <c r="O132" s="385"/>
      <c r="P132" s="385"/>
      <c r="Q132" s="385"/>
    </row>
    <row r="133" spans="2:17" x14ac:dyDescent="0.25">
      <c r="B133" s="389"/>
      <c r="C133" s="384"/>
      <c r="D133" s="776"/>
      <c r="G133" s="385"/>
      <c r="H133" s="385"/>
      <c r="I133" s="385"/>
      <c r="J133" s="385"/>
      <c r="K133" s="385"/>
      <c r="L133" s="385"/>
      <c r="M133" s="385"/>
      <c r="N133" s="385"/>
      <c r="O133" s="385"/>
      <c r="P133" s="385"/>
      <c r="Q133" s="385"/>
    </row>
    <row r="134" spans="2:17" x14ac:dyDescent="0.25">
      <c r="C134" s="384"/>
      <c r="D134" s="776"/>
      <c r="G134" s="385"/>
      <c r="H134" s="385"/>
      <c r="I134" s="385"/>
      <c r="J134" s="385"/>
      <c r="K134" s="385"/>
      <c r="L134" s="385"/>
      <c r="M134" s="385"/>
      <c r="N134" s="385"/>
      <c r="O134" s="385"/>
      <c r="P134" s="385"/>
      <c r="Q134" s="385"/>
    </row>
    <row r="135" spans="2:17" x14ac:dyDescent="0.25">
      <c r="B135" s="386"/>
      <c r="C135" s="384"/>
      <c r="D135" s="776"/>
      <c r="G135" s="385"/>
      <c r="H135" s="385"/>
      <c r="I135" s="385"/>
      <c r="J135" s="385"/>
      <c r="K135" s="385"/>
      <c r="L135" s="385"/>
      <c r="M135" s="385"/>
      <c r="N135" s="385"/>
      <c r="O135" s="385"/>
      <c r="P135" s="385"/>
      <c r="Q135" s="385"/>
    </row>
    <row r="136" spans="2:17" x14ac:dyDescent="0.25">
      <c r="B136" s="386"/>
      <c r="C136" s="384"/>
      <c r="D136" s="776"/>
      <c r="G136" s="385"/>
      <c r="H136" s="385"/>
      <c r="I136" s="385"/>
      <c r="J136" s="385"/>
      <c r="K136" s="385"/>
      <c r="L136" s="385"/>
      <c r="M136" s="385"/>
      <c r="N136" s="385"/>
      <c r="O136" s="385"/>
      <c r="P136" s="385"/>
      <c r="Q136" s="385"/>
    </row>
    <row r="137" spans="2:17" x14ac:dyDescent="0.25">
      <c r="B137" s="389"/>
      <c r="C137" s="384"/>
      <c r="D137" s="776"/>
      <c r="G137" s="385"/>
      <c r="H137" s="385"/>
      <c r="I137" s="385"/>
      <c r="J137" s="385"/>
      <c r="K137" s="385"/>
      <c r="L137" s="385"/>
      <c r="M137" s="385"/>
      <c r="N137" s="385"/>
      <c r="O137" s="385"/>
      <c r="P137" s="385"/>
      <c r="Q137" s="385"/>
    </row>
    <row r="138" spans="2:17" x14ac:dyDescent="0.25">
      <c r="C138" s="384"/>
      <c r="D138" s="776"/>
      <c r="G138" s="385"/>
      <c r="H138" s="385"/>
      <c r="I138" s="385"/>
      <c r="J138" s="385"/>
      <c r="K138" s="385"/>
      <c r="L138" s="385"/>
      <c r="M138" s="385"/>
      <c r="N138" s="385"/>
      <c r="O138" s="385"/>
      <c r="P138" s="385"/>
      <c r="Q138" s="385"/>
    </row>
    <row r="139" spans="2:17" x14ac:dyDescent="0.25">
      <c r="B139" s="388"/>
      <c r="C139" s="390"/>
      <c r="D139" s="777"/>
      <c r="G139" s="385"/>
      <c r="H139" s="385"/>
      <c r="I139" s="385"/>
      <c r="J139" s="385"/>
      <c r="K139" s="385"/>
      <c r="L139" s="385"/>
      <c r="M139" s="385"/>
      <c r="N139" s="385"/>
      <c r="O139" s="385"/>
      <c r="P139" s="385"/>
      <c r="Q139" s="385"/>
    </row>
    <row r="140" spans="2:17" x14ac:dyDescent="0.25">
      <c r="B140" s="389"/>
      <c r="C140" s="384"/>
      <c r="D140" s="776"/>
      <c r="G140" s="385"/>
      <c r="H140" s="385"/>
      <c r="I140" s="385"/>
      <c r="J140" s="385"/>
      <c r="K140" s="385"/>
      <c r="L140" s="385"/>
      <c r="M140" s="385"/>
      <c r="N140" s="385"/>
      <c r="O140" s="385"/>
      <c r="P140" s="385"/>
      <c r="Q140" s="385"/>
    </row>
    <row r="141" spans="2:17" x14ac:dyDescent="0.25">
      <c r="B141" s="389"/>
      <c r="C141" s="384"/>
      <c r="D141" s="776"/>
      <c r="G141" s="385"/>
      <c r="H141" s="385"/>
      <c r="I141" s="385"/>
      <c r="J141" s="385"/>
      <c r="K141" s="385"/>
      <c r="L141" s="385"/>
      <c r="M141" s="385"/>
      <c r="N141" s="385"/>
      <c r="O141" s="385"/>
      <c r="P141" s="385"/>
      <c r="Q141" s="385"/>
    </row>
    <row r="142" spans="2:17" x14ac:dyDescent="0.25">
      <c r="C142" s="384"/>
      <c r="D142" s="776"/>
      <c r="G142" s="385"/>
      <c r="H142" s="385"/>
      <c r="I142" s="385"/>
      <c r="J142" s="385"/>
      <c r="K142" s="385"/>
      <c r="L142" s="385"/>
      <c r="M142" s="385"/>
      <c r="N142" s="385"/>
      <c r="O142" s="385"/>
      <c r="P142" s="385"/>
      <c r="Q142" s="385"/>
    </row>
    <row r="143" spans="2:17" x14ac:dyDescent="0.25">
      <c r="G143" s="385"/>
      <c r="H143" s="385"/>
      <c r="I143" s="385"/>
      <c r="J143" s="385"/>
      <c r="K143" s="385"/>
      <c r="L143" s="385"/>
      <c r="M143" s="385"/>
      <c r="N143" s="385"/>
      <c r="O143" s="385"/>
      <c r="P143" s="385"/>
      <c r="Q143" s="385"/>
    </row>
    <row r="144" spans="2:17" x14ac:dyDescent="0.25">
      <c r="C144" s="390"/>
      <c r="D144" s="777"/>
      <c r="G144" s="391"/>
      <c r="H144" s="391"/>
      <c r="I144" s="391"/>
      <c r="J144" s="391"/>
      <c r="K144" s="391"/>
      <c r="L144" s="391"/>
      <c r="M144" s="391"/>
      <c r="N144" s="391"/>
      <c r="O144" s="391"/>
      <c r="P144" s="391"/>
      <c r="Q144" s="391"/>
    </row>
    <row r="145" spans="1:17" x14ac:dyDescent="0.25">
      <c r="C145" s="390"/>
      <c r="D145" s="777"/>
      <c r="G145" s="391"/>
      <c r="H145" s="391"/>
      <c r="I145" s="391"/>
      <c r="J145" s="391"/>
      <c r="K145" s="391"/>
      <c r="L145" s="391"/>
      <c r="M145" s="391"/>
      <c r="N145" s="391"/>
      <c r="O145" s="391"/>
      <c r="P145" s="391"/>
      <c r="Q145" s="391"/>
    </row>
    <row r="147" spans="1:17" x14ac:dyDescent="0.25">
      <c r="A147" s="381"/>
      <c r="C147" s="381"/>
      <c r="D147" s="775"/>
      <c r="E147" s="382"/>
    </row>
    <row r="148" spans="1:17" x14ac:dyDescent="0.25">
      <c r="B148" s="386"/>
      <c r="C148" s="384"/>
      <c r="D148" s="776"/>
      <c r="E148" s="380"/>
      <c r="G148" s="385"/>
      <c r="H148" s="385"/>
      <c r="I148" s="385"/>
      <c r="J148" s="385"/>
      <c r="K148" s="385"/>
      <c r="L148" s="385"/>
      <c r="M148" s="385"/>
      <c r="N148" s="385"/>
      <c r="O148" s="385"/>
      <c r="P148" s="385"/>
      <c r="Q148" s="385"/>
    </row>
    <row r="149" spans="1:17" x14ac:dyDescent="0.25">
      <c r="B149" s="386"/>
      <c r="C149" s="384"/>
      <c r="D149" s="776"/>
      <c r="E149" s="380"/>
      <c r="F149" s="380"/>
      <c r="G149" s="387"/>
      <c r="H149" s="387"/>
      <c r="I149" s="387"/>
      <c r="J149" s="387"/>
      <c r="K149" s="387"/>
      <c r="L149" s="387"/>
      <c r="M149" s="387"/>
      <c r="N149" s="387"/>
      <c r="O149" s="387"/>
      <c r="P149" s="387"/>
      <c r="Q149" s="387"/>
    </row>
    <row r="150" spans="1:17" x14ac:dyDescent="0.25">
      <c r="B150" s="386"/>
      <c r="C150" s="384"/>
      <c r="D150" s="776"/>
      <c r="G150" s="385"/>
      <c r="H150" s="385"/>
      <c r="I150" s="385"/>
      <c r="J150" s="385"/>
      <c r="K150" s="385"/>
      <c r="L150" s="385"/>
      <c r="M150" s="385"/>
      <c r="N150" s="385"/>
      <c r="O150" s="385"/>
      <c r="P150" s="385"/>
      <c r="Q150" s="385"/>
    </row>
    <row r="151" spans="1:17" x14ac:dyDescent="0.25">
      <c r="B151" s="386"/>
      <c r="C151" s="384"/>
      <c r="D151" s="776"/>
      <c r="G151" s="385"/>
      <c r="H151" s="385"/>
      <c r="I151" s="385"/>
      <c r="J151" s="385"/>
      <c r="K151" s="385"/>
      <c r="L151" s="385"/>
      <c r="M151" s="385"/>
      <c r="N151" s="385"/>
      <c r="O151" s="385"/>
      <c r="P151" s="385"/>
      <c r="Q151" s="385"/>
    </row>
    <row r="152" spans="1:17" x14ac:dyDescent="0.25">
      <c r="B152" s="386"/>
      <c r="C152" s="384"/>
      <c r="D152" s="776"/>
      <c r="G152" s="385"/>
      <c r="H152" s="385"/>
      <c r="I152" s="385"/>
      <c r="J152" s="385"/>
      <c r="K152" s="385"/>
      <c r="L152" s="385"/>
      <c r="M152" s="385"/>
      <c r="N152" s="385"/>
      <c r="O152" s="385"/>
      <c r="P152" s="385"/>
      <c r="Q152" s="385"/>
    </row>
    <row r="153" spans="1:17" x14ac:dyDescent="0.25">
      <c r="B153" s="386"/>
      <c r="C153" s="384"/>
      <c r="D153" s="776"/>
      <c r="G153" s="385"/>
      <c r="H153" s="385"/>
      <c r="I153" s="385"/>
      <c r="J153" s="385"/>
      <c r="K153" s="385"/>
      <c r="L153" s="385"/>
      <c r="M153" s="385"/>
      <c r="N153" s="385"/>
      <c r="O153" s="385"/>
      <c r="P153" s="385"/>
      <c r="Q153" s="385"/>
    </row>
    <row r="154" spans="1:17" x14ac:dyDescent="0.25">
      <c r="B154" s="388"/>
      <c r="C154" s="384"/>
      <c r="D154" s="776"/>
      <c r="G154" s="385"/>
      <c r="H154" s="385"/>
      <c r="I154" s="385"/>
      <c r="J154" s="385"/>
      <c r="K154" s="385"/>
      <c r="L154" s="385"/>
      <c r="M154" s="385"/>
      <c r="N154" s="385"/>
      <c r="O154" s="385"/>
      <c r="P154" s="385"/>
      <c r="Q154" s="385"/>
    </row>
    <row r="155" spans="1:17" x14ac:dyDescent="0.25">
      <c r="C155" s="384"/>
      <c r="D155" s="776"/>
      <c r="G155" s="385"/>
      <c r="H155" s="385"/>
      <c r="I155" s="385"/>
      <c r="J155" s="385"/>
      <c r="K155" s="385"/>
      <c r="L155" s="385"/>
      <c r="M155" s="385"/>
      <c r="N155" s="385"/>
      <c r="O155" s="385"/>
      <c r="P155" s="385"/>
      <c r="Q155" s="385"/>
    </row>
    <row r="156" spans="1:17" x14ac:dyDescent="0.25">
      <c r="B156" s="386"/>
      <c r="C156" s="384"/>
      <c r="D156" s="776"/>
      <c r="G156" s="385"/>
      <c r="H156" s="385"/>
      <c r="I156" s="385"/>
      <c r="J156" s="385"/>
      <c r="K156" s="385"/>
      <c r="L156" s="385"/>
      <c r="M156" s="385"/>
      <c r="N156" s="385"/>
      <c r="O156" s="385"/>
      <c r="P156" s="385"/>
      <c r="Q156" s="385"/>
    </row>
    <row r="157" spans="1:17" x14ac:dyDescent="0.25">
      <c r="B157" s="386"/>
      <c r="C157" s="384"/>
      <c r="D157" s="776"/>
      <c r="G157" s="385"/>
      <c r="H157" s="385"/>
      <c r="I157" s="385"/>
      <c r="J157" s="385"/>
      <c r="K157" s="385"/>
      <c r="L157" s="385"/>
      <c r="M157" s="385"/>
      <c r="N157" s="385"/>
      <c r="O157" s="385"/>
      <c r="P157" s="385"/>
      <c r="Q157" s="385"/>
    </row>
    <row r="158" spans="1:17" x14ac:dyDescent="0.25">
      <c r="B158" s="386"/>
      <c r="C158" s="384"/>
      <c r="D158" s="776"/>
      <c r="G158" s="385"/>
      <c r="H158" s="385"/>
      <c r="I158" s="385"/>
      <c r="J158" s="385"/>
      <c r="K158" s="385"/>
      <c r="L158" s="385"/>
      <c r="M158" s="385"/>
      <c r="N158" s="385"/>
      <c r="O158" s="385"/>
      <c r="P158" s="385"/>
      <c r="Q158" s="385"/>
    </row>
    <row r="159" spans="1:17" x14ac:dyDescent="0.25">
      <c r="B159" s="386"/>
      <c r="C159" s="384"/>
      <c r="D159" s="776"/>
      <c r="G159" s="385"/>
      <c r="H159" s="385"/>
      <c r="I159" s="385"/>
      <c r="J159" s="385"/>
      <c r="K159" s="385"/>
      <c r="L159" s="385"/>
      <c r="M159" s="385"/>
      <c r="N159" s="385"/>
      <c r="O159" s="385"/>
      <c r="P159" s="385"/>
      <c r="Q159" s="385"/>
    </row>
    <row r="160" spans="1:17" x14ac:dyDescent="0.25">
      <c r="C160" s="384"/>
      <c r="D160" s="776"/>
      <c r="G160" s="385"/>
      <c r="H160" s="385"/>
      <c r="I160" s="385"/>
      <c r="J160" s="385"/>
      <c r="K160" s="385"/>
      <c r="L160" s="385"/>
      <c r="M160" s="385"/>
      <c r="N160" s="385"/>
      <c r="O160" s="385"/>
      <c r="P160" s="385"/>
      <c r="Q160" s="385"/>
    </row>
    <row r="161" spans="2:17" x14ac:dyDescent="0.25">
      <c r="B161" s="386"/>
      <c r="C161" s="384"/>
      <c r="D161" s="776"/>
      <c r="G161" s="385"/>
      <c r="H161" s="385"/>
      <c r="I161" s="385"/>
      <c r="J161" s="385"/>
      <c r="K161" s="385"/>
      <c r="L161" s="385"/>
      <c r="M161" s="385"/>
      <c r="N161" s="385"/>
      <c r="O161" s="385"/>
      <c r="P161" s="385"/>
      <c r="Q161" s="385"/>
    </row>
    <row r="162" spans="2:17" x14ac:dyDescent="0.25">
      <c r="B162" s="386"/>
      <c r="C162" s="384"/>
      <c r="D162" s="776"/>
      <c r="G162" s="385"/>
      <c r="H162" s="385"/>
      <c r="I162" s="385"/>
      <c r="J162" s="385"/>
      <c r="K162" s="385"/>
      <c r="L162" s="385"/>
      <c r="M162" s="385"/>
      <c r="N162" s="385"/>
      <c r="O162" s="385"/>
      <c r="P162" s="385"/>
      <c r="Q162" s="385"/>
    </row>
    <row r="163" spans="2:17" x14ac:dyDescent="0.25">
      <c r="B163" s="386"/>
      <c r="C163" s="384"/>
      <c r="D163" s="776"/>
      <c r="G163" s="385"/>
      <c r="H163" s="385"/>
      <c r="I163" s="385"/>
      <c r="J163" s="385"/>
      <c r="K163" s="385"/>
      <c r="L163" s="385"/>
      <c r="M163" s="385"/>
      <c r="N163" s="385"/>
      <c r="O163" s="385"/>
      <c r="P163" s="385"/>
      <c r="Q163" s="385"/>
    </row>
    <row r="164" spans="2:17" x14ac:dyDescent="0.25">
      <c r="B164" s="388"/>
      <c r="C164" s="384"/>
      <c r="D164" s="776"/>
      <c r="G164" s="385"/>
      <c r="H164" s="385"/>
      <c r="I164" s="385"/>
      <c r="J164" s="385"/>
      <c r="K164" s="385"/>
      <c r="L164" s="385"/>
      <c r="M164" s="385"/>
      <c r="N164" s="385"/>
      <c r="O164" s="385"/>
      <c r="P164" s="385"/>
      <c r="Q164" s="385"/>
    </row>
    <row r="165" spans="2:17" x14ac:dyDescent="0.25">
      <c r="B165" s="386"/>
      <c r="C165" s="384"/>
      <c r="D165" s="776"/>
      <c r="G165" s="385"/>
      <c r="H165" s="385"/>
      <c r="I165" s="385"/>
      <c r="J165" s="385"/>
      <c r="K165" s="385"/>
      <c r="L165" s="385"/>
      <c r="M165" s="385"/>
      <c r="N165" s="385"/>
      <c r="O165" s="385"/>
      <c r="P165" s="385"/>
      <c r="Q165" s="385"/>
    </row>
    <row r="166" spans="2:17" x14ac:dyDescent="0.25">
      <c r="B166" s="386"/>
      <c r="C166" s="384"/>
      <c r="D166" s="776"/>
      <c r="G166" s="385"/>
      <c r="H166" s="385"/>
      <c r="I166" s="385"/>
      <c r="J166" s="385"/>
      <c r="K166" s="385"/>
      <c r="L166" s="385"/>
      <c r="M166" s="385"/>
      <c r="N166" s="385"/>
      <c r="O166" s="385"/>
      <c r="P166" s="385"/>
      <c r="Q166" s="385"/>
    </row>
    <row r="167" spans="2:17" x14ac:dyDescent="0.25">
      <c r="B167" s="386"/>
      <c r="C167" s="384"/>
      <c r="D167" s="776"/>
      <c r="G167" s="385"/>
      <c r="H167" s="385"/>
      <c r="I167" s="385"/>
      <c r="J167" s="385"/>
      <c r="K167" s="385"/>
      <c r="L167" s="385"/>
      <c r="M167" s="385"/>
      <c r="N167" s="385"/>
      <c r="O167" s="385"/>
      <c r="P167" s="385"/>
      <c r="Q167" s="385"/>
    </row>
    <row r="168" spans="2:17" x14ac:dyDescent="0.25">
      <c r="B168" s="386"/>
      <c r="C168" s="384"/>
      <c r="D168" s="776"/>
      <c r="G168" s="385"/>
      <c r="H168" s="385"/>
      <c r="I168" s="385"/>
      <c r="J168" s="385"/>
      <c r="K168" s="385"/>
      <c r="L168" s="385"/>
      <c r="M168" s="385"/>
      <c r="N168" s="385"/>
      <c r="O168" s="385"/>
      <c r="P168" s="385"/>
      <c r="Q168" s="385"/>
    </row>
    <row r="169" spans="2:17" x14ac:dyDescent="0.25">
      <c r="B169" s="386"/>
      <c r="C169" s="384"/>
      <c r="D169" s="776"/>
      <c r="G169" s="385"/>
      <c r="H169" s="385"/>
      <c r="I169" s="385"/>
      <c r="J169" s="385"/>
      <c r="K169" s="385"/>
      <c r="L169" s="385"/>
      <c r="M169" s="385"/>
      <c r="N169" s="385"/>
      <c r="O169" s="385"/>
      <c r="P169" s="385"/>
      <c r="Q169" s="385"/>
    </row>
    <row r="170" spans="2:17" x14ac:dyDescent="0.25">
      <c r="B170" s="386"/>
      <c r="C170" s="384"/>
      <c r="D170" s="776"/>
      <c r="G170" s="385"/>
      <c r="H170" s="385"/>
      <c r="I170" s="385"/>
      <c r="J170" s="385"/>
      <c r="K170" s="385"/>
      <c r="L170" s="385"/>
      <c r="M170" s="385"/>
      <c r="N170" s="385"/>
      <c r="O170" s="385"/>
      <c r="P170" s="385"/>
      <c r="Q170" s="385"/>
    </row>
    <row r="171" spans="2:17" x14ac:dyDescent="0.25">
      <c r="B171" s="386"/>
      <c r="C171" s="384"/>
      <c r="D171" s="776"/>
      <c r="G171" s="385"/>
      <c r="H171" s="385"/>
      <c r="I171" s="385"/>
      <c r="J171" s="385"/>
      <c r="K171" s="385"/>
      <c r="L171" s="385"/>
      <c r="M171" s="385"/>
      <c r="N171" s="385"/>
      <c r="O171" s="385"/>
      <c r="P171" s="385"/>
      <c r="Q171" s="385"/>
    </row>
    <row r="172" spans="2:17" x14ac:dyDescent="0.25">
      <c r="B172" s="386"/>
      <c r="C172" s="384"/>
      <c r="D172" s="776"/>
      <c r="G172" s="385"/>
      <c r="H172" s="385"/>
      <c r="I172" s="385"/>
      <c r="J172" s="385"/>
      <c r="K172" s="385"/>
      <c r="L172" s="385"/>
      <c r="M172" s="385"/>
      <c r="N172" s="385"/>
      <c r="O172" s="385"/>
      <c r="P172" s="385"/>
      <c r="Q172" s="385"/>
    </row>
    <row r="173" spans="2:17" x14ac:dyDescent="0.25">
      <c r="B173" s="389"/>
      <c r="C173" s="384"/>
      <c r="D173" s="776"/>
      <c r="G173" s="385"/>
      <c r="H173" s="385"/>
      <c r="I173" s="385"/>
      <c r="J173" s="385"/>
      <c r="K173" s="385"/>
      <c r="L173" s="385"/>
      <c r="M173" s="385"/>
      <c r="N173" s="385"/>
      <c r="O173" s="385"/>
      <c r="P173" s="385"/>
      <c r="Q173" s="385"/>
    </row>
    <row r="174" spans="2:17" x14ac:dyDescent="0.25">
      <c r="C174" s="384"/>
      <c r="D174" s="776"/>
      <c r="G174" s="385"/>
      <c r="H174" s="385"/>
      <c r="I174" s="385"/>
      <c r="J174" s="385"/>
      <c r="K174" s="385"/>
      <c r="L174" s="385"/>
      <c r="M174" s="385"/>
      <c r="N174" s="385"/>
      <c r="O174" s="385"/>
      <c r="P174" s="385"/>
      <c r="Q174" s="385"/>
    </row>
    <row r="175" spans="2:17" x14ac:dyDescent="0.25">
      <c r="B175" s="389"/>
      <c r="C175" s="384"/>
      <c r="D175" s="776"/>
      <c r="G175" s="385"/>
      <c r="H175" s="385"/>
      <c r="I175" s="385"/>
      <c r="J175" s="385"/>
      <c r="K175" s="385"/>
      <c r="L175" s="385"/>
      <c r="M175" s="385"/>
      <c r="N175" s="385"/>
      <c r="O175" s="385"/>
      <c r="P175" s="385"/>
      <c r="Q175" s="385"/>
    </row>
    <row r="176" spans="2:17" x14ac:dyDescent="0.25">
      <c r="C176" s="384"/>
      <c r="D176" s="776"/>
      <c r="G176" s="385"/>
      <c r="H176" s="385"/>
      <c r="I176" s="385"/>
      <c r="J176" s="385"/>
      <c r="K176" s="385"/>
      <c r="L176" s="385"/>
      <c r="M176" s="385"/>
      <c r="N176" s="385"/>
      <c r="O176" s="385"/>
      <c r="P176" s="385"/>
      <c r="Q176" s="385"/>
    </row>
    <row r="177" spans="2:17" x14ac:dyDescent="0.25">
      <c r="B177" s="386"/>
      <c r="C177" s="384"/>
      <c r="D177" s="776"/>
      <c r="G177" s="385"/>
      <c r="H177" s="385"/>
      <c r="I177" s="385"/>
      <c r="J177" s="385"/>
      <c r="K177" s="385"/>
      <c r="L177" s="385"/>
      <c r="M177" s="385"/>
      <c r="N177" s="385"/>
      <c r="O177" s="385"/>
      <c r="P177" s="385"/>
      <c r="Q177" s="385"/>
    </row>
    <row r="178" spans="2:17" x14ac:dyDescent="0.25">
      <c r="B178" s="386"/>
      <c r="C178" s="384"/>
      <c r="D178" s="776"/>
      <c r="G178" s="385"/>
      <c r="H178" s="385"/>
      <c r="I178" s="385"/>
      <c r="J178" s="385"/>
      <c r="K178" s="385"/>
      <c r="L178" s="385"/>
      <c r="M178" s="385"/>
      <c r="N178" s="385"/>
      <c r="O178" s="385"/>
      <c r="P178" s="385"/>
      <c r="Q178" s="385"/>
    </row>
    <row r="179" spans="2:17" x14ac:dyDescent="0.25">
      <c r="B179" s="386"/>
      <c r="C179" s="384"/>
      <c r="D179" s="776"/>
      <c r="G179" s="385"/>
      <c r="H179" s="385"/>
      <c r="I179" s="385"/>
      <c r="J179" s="385"/>
      <c r="K179" s="385"/>
      <c r="L179" s="385"/>
      <c r="M179" s="385"/>
      <c r="N179" s="385"/>
      <c r="O179" s="385"/>
      <c r="P179" s="385"/>
      <c r="Q179" s="385"/>
    </row>
    <row r="180" spans="2:17" x14ac:dyDescent="0.25">
      <c r="B180" s="389"/>
      <c r="C180" s="384"/>
      <c r="D180" s="776"/>
      <c r="G180" s="385"/>
      <c r="H180" s="385"/>
      <c r="I180" s="385"/>
      <c r="J180" s="385"/>
      <c r="K180" s="385"/>
      <c r="L180" s="385"/>
      <c r="M180" s="385"/>
      <c r="N180" s="385"/>
      <c r="O180" s="385"/>
      <c r="P180" s="385"/>
      <c r="Q180" s="385"/>
    </row>
    <row r="181" spans="2:17" x14ac:dyDescent="0.25">
      <c r="C181" s="384"/>
      <c r="D181" s="776"/>
      <c r="G181" s="385"/>
      <c r="H181" s="385"/>
      <c r="I181" s="385"/>
      <c r="J181" s="385"/>
      <c r="K181" s="385"/>
      <c r="L181" s="385"/>
      <c r="M181" s="385"/>
      <c r="N181" s="385"/>
      <c r="O181" s="385"/>
      <c r="P181" s="385"/>
      <c r="Q181" s="385"/>
    </row>
    <row r="182" spans="2:17" x14ac:dyDescent="0.25">
      <c r="B182" s="386"/>
      <c r="C182" s="384"/>
      <c r="D182" s="776"/>
      <c r="G182" s="385"/>
      <c r="H182" s="385"/>
      <c r="I182" s="385"/>
      <c r="J182" s="385"/>
      <c r="K182" s="385"/>
      <c r="L182" s="385"/>
      <c r="M182" s="385"/>
      <c r="N182" s="385"/>
      <c r="O182" s="385"/>
      <c r="P182" s="385"/>
      <c r="Q182" s="385"/>
    </row>
    <row r="183" spans="2:17" x14ac:dyDescent="0.25">
      <c r="B183" s="386"/>
      <c r="C183" s="384"/>
      <c r="D183" s="776"/>
      <c r="G183" s="385"/>
      <c r="H183" s="385"/>
      <c r="I183" s="385"/>
      <c r="J183" s="385"/>
      <c r="K183" s="385"/>
      <c r="L183" s="385"/>
      <c r="M183" s="385"/>
      <c r="N183" s="385"/>
      <c r="O183" s="385"/>
      <c r="P183" s="385"/>
      <c r="Q183" s="385"/>
    </row>
    <row r="184" spans="2:17" x14ac:dyDescent="0.25">
      <c r="B184" s="389"/>
      <c r="C184" s="384"/>
      <c r="D184" s="776"/>
      <c r="G184" s="385"/>
      <c r="H184" s="385"/>
      <c r="I184" s="385"/>
      <c r="J184" s="385"/>
      <c r="K184" s="385"/>
      <c r="L184" s="385"/>
      <c r="M184" s="385"/>
      <c r="N184" s="385"/>
      <c r="O184" s="385"/>
      <c r="P184" s="385"/>
      <c r="Q184" s="385"/>
    </row>
    <row r="185" spans="2:17" x14ac:dyDescent="0.25">
      <c r="C185" s="384"/>
      <c r="D185" s="776"/>
      <c r="G185" s="385"/>
      <c r="H185" s="385"/>
      <c r="I185" s="385"/>
      <c r="J185" s="385"/>
      <c r="K185" s="385"/>
      <c r="L185" s="385"/>
      <c r="M185" s="385"/>
      <c r="N185" s="385"/>
      <c r="O185" s="385"/>
      <c r="P185" s="385"/>
      <c r="Q185" s="385"/>
    </row>
    <row r="186" spans="2:17" x14ac:dyDescent="0.25">
      <c r="B186" s="388"/>
      <c r="C186" s="390"/>
      <c r="D186" s="777"/>
      <c r="G186" s="385"/>
      <c r="H186" s="385"/>
      <c r="I186" s="385"/>
      <c r="J186" s="385"/>
      <c r="K186" s="385"/>
      <c r="L186" s="385"/>
      <c r="M186" s="385"/>
      <c r="N186" s="385"/>
      <c r="O186" s="385"/>
      <c r="P186" s="385"/>
      <c r="Q186" s="385"/>
    </row>
    <row r="187" spans="2:17" x14ac:dyDescent="0.25">
      <c r="B187" s="389"/>
      <c r="C187" s="384"/>
      <c r="D187" s="776"/>
      <c r="G187" s="385"/>
      <c r="H187" s="385"/>
      <c r="I187" s="385"/>
      <c r="J187" s="385"/>
      <c r="K187" s="385"/>
      <c r="L187" s="385"/>
      <c r="M187" s="385"/>
      <c r="N187" s="385"/>
      <c r="O187" s="385"/>
      <c r="P187" s="385"/>
      <c r="Q187" s="385"/>
    </row>
    <row r="188" spans="2:17" x14ac:dyDescent="0.25">
      <c r="B188" s="389"/>
      <c r="C188" s="384"/>
      <c r="D188" s="776"/>
      <c r="G188" s="385"/>
      <c r="H188" s="385"/>
      <c r="I188" s="385"/>
      <c r="J188" s="385"/>
      <c r="K188" s="385"/>
      <c r="L188" s="385"/>
      <c r="M188" s="385"/>
      <c r="N188" s="385"/>
      <c r="O188" s="385"/>
      <c r="P188" s="385"/>
      <c r="Q188" s="385"/>
    </row>
    <row r="189" spans="2:17" x14ac:dyDescent="0.25">
      <c r="C189" s="390"/>
      <c r="D189" s="777"/>
      <c r="G189" s="385"/>
      <c r="H189" s="385"/>
      <c r="I189" s="385"/>
      <c r="J189" s="385"/>
      <c r="K189" s="385"/>
      <c r="L189" s="385"/>
      <c r="M189" s="385"/>
      <c r="N189" s="385"/>
      <c r="O189" s="385"/>
      <c r="P189" s="385"/>
      <c r="Q189" s="385"/>
    </row>
    <row r="190" spans="2:17" x14ac:dyDescent="0.25">
      <c r="G190" s="385"/>
      <c r="H190" s="385"/>
      <c r="I190" s="385"/>
      <c r="J190" s="385"/>
      <c r="K190" s="385"/>
      <c r="L190" s="385"/>
      <c r="M190" s="385"/>
      <c r="N190" s="385"/>
      <c r="O190" s="385"/>
      <c r="P190" s="385"/>
      <c r="Q190" s="385"/>
    </row>
    <row r="191" spans="2:17" x14ac:dyDescent="0.25">
      <c r="O191" s="391"/>
      <c r="P191" s="391"/>
      <c r="Q191" s="391"/>
    </row>
    <row r="193" spans="1:17" x14ac:dyDescent="0.25">
      <c r="A193" s="381"/>
      <c r="C193" s="381"/>
      <c r="D193" s="775"/>
      <c r="E193" s="382"/>
    </row>
    <row r="194" spans="1:17" x14ac:dyDescent="0.25">
      <c r="B194" s="386"/>
      <c r="C194" s="384"/>
      <c r="D194" s="776"/>
      <c r="E194" s="380"/>
      <c r="G194" s="385"/>
      <c r="H194" s="385"/>
      <c r="I194" s="385"/>
      <c r="J194" s="385"/>
      <c r="K194" s="385"/>
      <c r="L194" s="385"/>
      <c r="M194" s="385"/>
      <c r="N194" s="385"/>
      <c r="O194" s="385"/>
      <c r="P194" s="385"/>
      <c r="Q194" s="385"/>
    </row>
    <row r="195" spans="1:17" x14ac:dyDescent="0.25">
      <c r="B195" s="386"/>
      <c r="C195" s="384"/>
      <c r="D195" s="776"/>
      <c r="E195" s="380"/>
      <c r="F195" s="380"/>
      <c r="G195" s="387"/>
      <c r="H195" s="387"/>
      <c r="I195" s="387"/>
      <c r="J195" s="387"/>
      <c r="K195" s="387"/>
      <c r="L195" s="387"/>
      <c r="M195" s="387"/>
      <c r="N195" s="387"/>
      <c r="O195" s="387"/>
      <c r="P195" s="387"/>
      <c r="Q195" s="387"/>
    </row>
    <row r="196" spans="1:17" x14ac:dyDescent="0.25">
      <c r="B196" s="386"/>
      <c r="C196" s="384"/>
      <c r="D196" s="776"/>
      <c r="G196" s="385"/>
      <c r="H196" s="385"/>
      <c r="I196" s="385"/>
      <c r="J196" s="385"/>
      <c r="K196" s="385"/>
      <c r="L196" s="385"/>
      <c r="M196" s="385"/>
      <c r="N196" s="385"/>
      <c r="O196" s="385"/>
      <c r="P196" s="385"/>
      <c r="Q196" s="385"/>
    </row>
    <row r="197" spans="1:17" x14ac:dyDescent="0.25">
      <c r="B197" s="386"/>
      <c r="C197" s="384"/>
      <c r="D197" s="776"/>
      <c r="G197" s="385"/>
      <c r="H197" s="385"/>
      <c r="I197" s="385"/>
      <c r="J197" s="385"/>
      <c r="K197" s="385"/>
      <c r="L197" s="385"/>
      <c r="M197" s="385"/>
      <c r="N197" s="385"/>
      <c r="O197" s="385"/>
      <c r="P197" s="385"/>
      <c r="Q197" s="385"/>
    </row>
    <row r="198" spans="1:17" x14ac:dyDescent="0.25">
      <c r="B198" s="386"/>
      <c r="C198" s="384"/>
      <c r="D198" s="776"/>
      <c r="G198" s="385"/>
      <c r="H198" s="385"/>
      <c r="I198" s="385"/>
      <c r="J198" s="385"/>
      <c r="K198" s="385"/>
      <c r="L198" s="385"/>
      <c r="M198" s="385"/>
      <c r="N198" s="385"/>
      <c r="O198" s="385"/>
      <c r="P198" s="385"/>
      <c r="Q198" s="385"/>
    </row>
    <row r="199" spans="1:17" x14ac:dyDescent="0.25">
      <c r="B199" s="386"/>
      <c r="C199" s="384"/>
      <c r="D199" s="776"/>
      <c r="G199" s="385"/>
      <c r="H199" s="385"/>
      <c r="I199" s="385"/>
      <c r="J199" s="385"/>
      <c r="K199" s="385"/>
      <c r="L199" s="385"/>
      <c r="M199" s="385"/>
      <c r="N199" s="385"/>
      <c r="O199" s="385"/>
      <c r="P199" s="385"/>
      <c r="Q199" s="385"/>
    </row>
    <row r="200" spans="1:17" x14ac:dyDescent="0.25">
      <c r="B200" s="388"/>
      <c r="C200" s="384"/>
      <c r="D200" s="776"/>
      <c r="G200" s="385"/>
      <c r="H200" s="385"/>
      <c r="I200" s="385"/>
      <c r="J200" s="385"/>
      <c r="K200" s="385"/>
      <c r="L200" s="385"/>
      <c r="M200" s="385"/>
      <c r="N200" s="385"/>
      <c r="O200" s="385"/>
      <c r="P200" s="385"/>
      <c r="Q200" s="385"/>
    </row>
    <row r="201" spans="1:17" x14ac:dyDescent="0.25">
      <c r="C201" s="384"/>
      <c r="D201" s="776"/>
      <c r="G201" s="385"/>
      <c r="H201" s="385"/>
      <c r="I201" s="385"/>
      <c r="J201" s="385"/>
      <c r="K201" s="385"/>
      <c r="L201" s="385"/>
      <c r="M201" s="385"/>
      <c r="N201" s="385"/>
      <c r="O201" s="385"/>
      <c r="P201" s="385"/>
      <c r="Q201" s="385"/>
    </row>
    <row r="202" spans="1:17" x14ac:dyDescent="0.25">
      <c r="B202" s="386"/>
      <c r="C202" s="384"/>
      <c r="D202" s="776"/>
      <c r="G202" s="385"/>
      <c r="H202" s="385"/>
      <c r="I202" s="385"/>
      <c r="J202" s="385"/>
      <c r="K202" s="385"/>
      <c r="L202" s="385"/>
      <c r="M202" s="385"/>
      <c r="N202" s="385"/>
      <c r="O202" s="385"/>
      <c r="P202" s="385"/>
      <c r="Q202" s="385"/>
    </row>
    <row r="203" spans="1:17" x14ac:dyDescent="0.25">
      <c r="B203" s="386"/>
      <c r="C203" s="384"/>
      <c r="D203" s="776"/>
      <c r="G203" s="385"/>
      <c r="H203" s="385"/>
      <c r="I203" s="385"/>
      <c r="J203" s="385"/>
      <c r="K203" s="385"/>
      <c r="L203" s="385"/>
      <c r="M203" s="385"/>
      <c r="N203" s="385"/>
      <c r="O203" s="385"/>
      <c r="P203" s="385"/>
      <c r="Q203" s="385"/>
    </row>
    <row r="204" spans="1:17" x14ac:dyDescent="0.25">
      <c r="B204" s="386"/>
      <c r="C204" s="384"/>
      <c r="D204" s="776"/>
      <c r="G204" s="385"/>
      <c r="H204" s="385"/>
      <c r="I204" s="385"/>
      <c r="J204" s="385"/>
      <c r="K204" s="385"/>
      <c r="L204" s="385"/>
      <c r="M204" s="385"/>
      <c r="N204" s="385"/>
      <c r="O204" s="385"/>
      <c r="P204" s="385"/>
      <c r="Q204" s="385"/>
    </row>
    <row r="205" spans="1:17" x14ac:dyDescent="0.25">
      <c r="B205" s="386"/>
      <c r="C205" s="384"/>
      <c r="D205" s="776"/>
      <c r="G205" s="385"/>
      <c r="H205" s="385"/>
      <c r="I205" s="385"/>
      <c r="J205" s="385"/>
      <c r="K205" s="385"/>
      <c r="L205" s="385"/>
      <c r="M205" s="385"/>
      <c r="N205" s="385"/>
      <c r="O205" s="385"/>
      <c r="P205" s="385"/>
      <c r="Q205" s="385"/>
    </row>
    <row r="206" spans="1:17" x14ac:dyDescent="0.25">
      <c r="C206" s="384"/>
      <c r="D206" s="776"/>
      <c r="G206" s="385"/>
      <c r="H206" s="385"/>
      <c r="I206" s="385"/>
      <c r="J206" s="385"/>
      <c r="K206" s="385"/>
      <c r="L206" s="385"/>
      <c r="M206" s="385"/>
      <c r="N206" s="385"/>
      <c r="O206" s="385"/>
      <c r="P206" s="385"/>
      <c r="Q206" s="385"/>
    </row>
    <row r="207" spans="1:17" x14ac:dyDescent="0.25">
      <c r="B207" s="386"/>
      <c r="C207" s="384"/>
      <c r="D207" s="776"/>
      <c r="G207" s="385"/>
      <c r="H207" s="385"/>
      <c r="I207" s="385"/>
      <c r="J207" s="385"/>
      <c r="K207" s="385"/>
      <c r="L207" s="385"/>
      <c r="M207" s="385"/>
      <c r="N207" s="385"/>
      <c r="O207" s="385"/>
      <c r="P207" s="385"/>
      <c r="Q207" s="385"/>
    </row>
    <row r="208" spans="1:17" x14ac:dyDescent="0.25">
      <c r="B208" s="386"/>
      <c r="C208" s="384"/>
      <c r="D208" s="776"/>
      <c r="G208" s="385"/>
      <c r="H208" s="385"/>
      <c r="I208" s="385"/>
      <c r="J208" s="385"/>
      <c r="K208" s="385"/>
      <c r="L208" s="385"/>
      <c r="M208" s="385"/>
      <c r="N208" s="385"/>
      <c r="O208" s="385"/>
      <c r="P208" s="385"/>
      <c r="Q208" s="385"/>
    </row>
    <row r="209" spans="2:17" x14ac:dyDescent="0.25">
      <c r="B209" s="386"/>
      <c r="C209" s="384"/>
      <c r="D209" s="776"/>
      <c r="G209" s="385"/>
      <c r="H209" s="385"/>
      <c r="I209" s="385"/>
      <c r="J209" s="385"/>
      <c r="K209" s="385"/>
      <c r="L209" s="385"/>
      <c r="M209" s="385"/>
      <c r="N209" s="385"/>
      <c r="O209" s="385"/>
      <c r="P209" s="385"/>
      <c r="Q209" s="385"/>
    </row>
    <row r="210" spans="2:17" x14ac:dyDescent="0.25">
      <c r="B210" s="388"/>
      <c r="C210" s="384"/>
      <c r="D210" s="776"/>
      <c r="G210" s="385"/>
      <c r="H210" s="385"/>
      <c r="I210" s="385"/>
      <c r="J210" s="385"/>
      <c r="K210" s="385"/>
      <c r="L210" s="385"/>
      <c r="M210" s="385"/>
      <c r="N210" s="385"/>
      <c r="O210" s="385"/>
      <c r="P210" s="385"/>
      <c r="Q210" s="385"/>
    </row>
    <row r="211" spans="2:17" x14ac:dyDescent="0.25">
      <c r="B211" s="386"/>
      <c r="C211" s="384"/>
      <c r="D211" s="776"/>
      <c r="G211" s="385"/>
      <c r="H211" s="385"/>
      <c r="I211" s="385"/>
      <c r="J211" s="385"/>
      <c r="K211" s="385"/>
      <c r="L211" s="385"/>
      <c r="M211" s="385"/>
      <c r="N211" s="385"/>
      <c r="O211" s="385"/>
      <c r="P211" s="385"/>
      <c r="Q211" s="385"/>
    </row>
    <row r="212" spans="2:17" x14ac:dyDescent="0.25">
      <c r="B212" s="386"/>
      <c r="C212" s="384"/>
      <c r="D212" s="776"/>
      <c r="G212" s="385"/>
      <c r="H212" s="385"/>
      <c r="I212" s="385"/>
      <c r="J212" s="385"/>
      <c r="K212" s="385"/>
      <c r="L212" s="385"/>
      <c r="M212" s="385"/>
      <c r="N212" s="385"/>
      <c r="O212" s="385"/>
      <c r="P212" s="385"/>
      <c r="Q212" s="385"/>
    </row>
    <row r="213" spans="2:17" x14ac:dyDescent="0.25">
      <c r="B213" s="386"/>
      <c r="C213" s="384"/>
      <c r="D213" s="776"/>
      <c r="G213" s="385"/>
      <c r="H213" s="385"/>
      <c r="I213" s="385"/>
      <c r="J213" s="385"/>
      <c r="K213" s="385"/>
      <c r="L213" s="385"/>
      <c r="M213" s="385"/>
      <c r="N213" s="385"/>
      <c r="O213" s="385"/>
      <c r="P213" s="385"/>
      <c r="Q213" s="385"/>
    </row>
    <row r="214" spans="2:17" x14ac:dyDescent="0.25">
      <c r="B214" s="386"/>
      <c r="C214" s="384"/>
      <c r="D214" s="776"/>
      <c r="G214" s="385"/>
      <c r="H214" s="385"/>
      <c r="I214" s="385"/>
      <c r="J214" s="385"/>
      <c r="K214" s="385"/>
      <c r="L214" s="385"/>
      <c r="M214" s="385"/>
      <c r="N214" s="385"/>
      <c r="O214" s="385"/>
      <c r="P214" s="385"/>
      <c r="Q214" s="385"/>
    </row>
    <row r="215" spans="2:17" x14ac:dyDescent="0.25">
      <c r="B215" s="386"/>
      <c r="C215" s="384"/>
      <c r="D215" s="776"/>
      <c r="G215" s="385"/>
      <c r="H215" s="385"/>
      <c r="I215" s="385"/>
      <c r="J215" s="385"/>
      <c r="K215" s="385"/>
      <c r="L215" s="385"/>
      <c r="M215" s="385"/>
      <c r="N215" s="385"/>
      <c r="O215" s="385"/>
      <c r="P215" s="385"/>
      <c r="Q215" s="385"/>
    </row>
    <row r="216" spans="2:17" x14ac:dyDescent="0.25">
      <c r="B216" s="386"/>
      <c r="C216" s="384"/>
      <c r="D216" s="776"/>
      <c r="G216" s="385"/>
      <c r="H216" s="385"/>
      <c r="I216" s="385"/>
      <c r="J216" s="385"/>
      <c r="K216" s="385"/>
      <c r="L216" s="385"/>
      <c r="M216" s="385"/>
      <c r="N216" s="385"/>
      <c r="O216" s="385"/>
      <c r="P216" s="385"/>
      <c r="Q216" s="385"/>
    </row>
    <row r="217" spans="2:17" x14ac:dyDescent="0.25">
      <c r="B217" s="386"/>
      <c r="C217" s="384"/>
      <c r="D217" s="776"/>
      <c r="G217" s="385"/>
      <c r="H217" s="385"/>
      <c r="I217" s="385"/>
      <c r="J217" s="385"/>
      <c r="K217" s="385"/>
      <c r="L217" s="385"/>
      <c r="M217" s="385"/>
      <c r="N217" s="385"/>
      <c r="O217" s="385"/>
      <c r="P217" s="385"/>
      <c r="Q217" s="385"/>
    </row>
    <row r="218" spans="2:17" x14ac:dyDescent="0.25">
      <c r="B218" s="386"/>
      <c r="C218" s="384"/>
      <c r="D218" s="776"/>
      <c r="G218" s="385"/>
      <c r="H218" s="385"/>
      <c r="I218" s="385"/>
      <c r="J218" s="385"/>
      <c r="K218" s="385"/>
      <c r="L218" s="385"/>
      <c r="M218" s="385"/>
      <c r="N218" s="385"/>
      <c r="O218" s="385"/>
      <c r="P218" s="385"/>
      <c r="Q218" s="385"/>
    </row>
    <row r="219" spans="2:17" x14ac:dyDescent="0.25">
      <c r="B219" s="389"/>
      <c r="C219" s="384"/>
      <c r="D219" s="776"/>
      <c r="G219" s="385"/>
      <c r="H219" s="385"/>
      <c r="I219" s="385"/>
      <c r="J219" s="385"/>
      <c r="K219" s="385"/>
      <c r="L219" s="385"/>
      <c r="M219" s="385"/>
      <c r="N219" s="385"/>
      <c r="O219" s="385"/>
      <c r="P219" s="385"/>
      <c r="Q219" s="385"/>
    </row>
    <row r="220" spans="2:17" x14ac:dyDescent="0.25">
      <c r="C220" s="384"/>
      <c r="D220" s="776"/>
      <c r="G220" s="385"/>
      <c r="H220" s="385"/>
      <c r="I220" s="385"/>
      <c r="J220" s="385"/>
      <c r="K220" s="385"/>
      <c r="L220" s="385"/>
      <c r="M220" s="385"/>
      <c r="N220" s="385"/>
      <c r="O220" s="385"/>
      <c r="P220" s="385"/>
      <c r="Q220" s="385"/>
    </row>
    <row r="221" spans="2:17" x14ac:dyDescent="0.25">
      <c r="B221" s="389"/>
      <c r="C221" s="384"/>
      <c r="D221" s="776"/>
      <c r="G221" s="385"/>
      <c r="H221" s="385"/>
      <c r="I221" s="385"/>
      <c r="J221" s="385"/>
      <c r="K221" s="385"/>
      <c r="L221" s="385"/>
      <c r="M221" s="385"/>
      <c r="N221" s="385"/>
      <c r="O221" s="385"/>
      <c r="P221" s="385"/>
      <c r="Q221" s="385"/>
    </row>
    <row r="222" spans="2:17" x14ac:dyDescent="0.25">
      <c r="C222" s="384"/>
      <c r="D222" s="776"/>
      <c r="G222" s="385"/>
      <c r="H222" s="385"/>
      <c r="I222" s="385"/>
      <c r="J222" s="385"/>
      <c r="K222" s="385"/>
      <c r="L222" s="385"/>
      <c r="M222" s="385"/>
      <c r="N222" s="385"/>
      <c r="O222" s="385"/>
      <c r="P222" s="385"/>
      <c r="Q222" s="385"/>
    </row>
    <row r="223" spans="2:17" x14ac:dyDescent="0.25">
      <c r="B223" s="386"/>
      <c r="C223" s="384"/>
      <c r="D223" s="776"/>
      <c r="G223" s="385"/>
      <c r="H223" s="385"/>
      <c r="I223" s="385"/>
      <c r="J223" s="385"/>
      <c r="K223" s="385"/>
      <c r="L223" s="385"/>
      <c r="M223" s="385"/>
      <c r="N223" s="385"/>
      <c r="O223" s="385"/>
      <c r="P223" s="385"/>
      <c r="Q223" s="385"/>
    </row>
    <row r="224" spans="2:17" x14ac:dyDescent="0.25">
      <c r="B224" s="386"/>
      <c r="C224" s="384"/>
      <c r="D224" s="776"/>
      <c r="G224" s="385"/>
      <c r="H224" s="385"/>
      <c r="I224" s="385"/>
      <c r="J224" s="385"/>
      <c r="K224" s="385"/>
      <c r="L224" s="385"/>
      <c r="M224" s="385"/>
      <c r="N224" s="385"/>
      <c r="O224" s="385"/>
      <c r="P224" s="385"/>
      <c r="Q224" s="385"/>
    </row>
    <row r="225" spans="1:17" x14ac:dyDescent="0.25">
      <c r="B225" s="386"/>
      <c r="C225" s="384"/>
      <c r="D225" s="776"/>
      <c r="G225" s="385"/>
      <c r="H225" s="385"/>
      <c r="I225" s="385"/>
      <c r="J225" s="385"/>
      <c r="K225" s="385"/>
      <c r="L225" s="385"/>
      <c r="M225" s="385"/>
      <c r="N225" s="385"/>
      <c r="O225" s="385"/>
      <c r="P225" s="385"/>
      <c r="Q225" s="385"/>
    </row>
    <row r="226" spans="1:17" x14ac:dyDescent="0.25">
      <c r="B226" s="389"/>
      <c r="C226" s="384"/>
      <c r="D226" s="776"/>
      <c r="G226" s="385"/>
      <c r="H226" s="385"/>
      <c r="I226" s="385"/>
      <c r="J226" s="385"/>
      <c r="K226" s="385"/>
      <c r="L226" s="385"/>
      <c r="M226" s="385"/>
      <c r="N226" s="385"/>
      <c r="O226" s="385"/>
      <c r="P226" s="385"/>
      <c r="Q226" s="385"/>
    </row>
    <row r="227" spans="1:17" x14ac:dyDescent="0.25">
      <c r="C227" s="384"/>
      <c r="D227" s="776"/>
      <c r="G227" s="385"/>
      <c r="H227" s="385"/>
      <c r="I227" s="385"/>
      <c r="J227" s="385"/>
      <c r="K227" s="385"/>
      <c r="L227" s="385"/>
      <c r="M227" s="385"/>
      <c r="N227" s="385"/>
      <c r="O227" s="385"/>
      <c r="P227" s="385"/>
      <c r="Q227" s="385"/>
    </row>
    <row r="228" spans="1:17" x14ac:dyDescent="0.25">
      <c r="B228" s="386"/>
      <c r="C228" s="384"/>
      <c r="D228" s="776"/>
      <c r="G228" s="385"/>
      <c r="H228" s="385"/>
      <c r="I228" s="385"/>
      <c r="J228" s="385"/>
      <c r="K228" s="385"/>
      <c r="L228" s="385"/>
      <c r="M228" s="385"/>
      <c r="N228" s="385"/>
      <c r="O228" s="385"/>
      <c r="P228" s="385"/>
      <c r="Q228" s="385"/>
    </row>
    <row r="229" spans="1:17" x14ac:dyDescent="0.25">
      <c r="B229" s="386"/>
      <c r="C229" s="384"/>
      <c r="D229" s="776"/>
      <c r="G229" s="385"/>
      <c r="H229" s="385"/>
      <c r="I229" s="385"/>
      <c r="J229" s="385"/>
      <c r="K229" s="385"/>
      <c r="L229" s="385"/>
      <c r="M229" s="385"/>
      <c r="N229" s="385"/>
      <c r="O229" s="385"/>
      <c r="P229" s="385"/>
      <c r="Q229" s="385"/>
    </row>
    <row r="230" spans="1:17" x14ac:dyDescent="0.25">
      <c r="B230" s="389"/>
      <c r="C230" s="384"/>
      <c r="D230" s="776"/>
      <c r="G230" s="385"/>
      <c r="H230" s="385"/>
      <c r="I230" s="385"/>
      <c r="J230" s="385"/>
      <c r="K230" s="385"/>
      <c r="L230" s="385"/>
      <c r="M230" s="385"/>
      <c r="N230" s="385"/>
      <c r="O230" s="385"/>
      <c r="P230" s="385"/>
      <c r="Q230" s="385"/>
    </row>
    <row r="231" spans="1:17" x14ac:dyDescent="0.25">
      <c r="C231" s="384"/>
      <c r="D231" s="776"/>
      <c r="G231" s="385"/>
      <c r="H231" s="385"/>
      <c r="I231" s="385"/>
      <c r="J231" s="385"/>
      <c r="K231" s="385"/>
      <c r="L231" s="385"/>
      <c r="M231" s="385"/>
      <c r="N231" s="385"/>
      <c r="O231" s="385"/>
      <c r="P231" s="385"/>
      <c r="Q231" s="385"/>
    </row>
    <row r="232" spans="1:17" x14ac:dyDescent="0.25">
      <c r="B232" s="388"/>
      <c r="C232" s="390"/>
      <c r="D232" s="777"/>
      <c r="G232" s="385"/>
      <c r="H232" s="385"/>
      <c r="I232" s="385"/>
      <c r="J232" s="385"/>
      <c r="K232" s="385"/>
      <c r="L232" s="385"/>
      <c r="M232" s="385"/>
      <c r="N232" s="385"/>
      <c r="O232" s="385"/>
      <c r="P232" s="385"/>
      <c r="Q232" s="385"/>
    </row>
    <row r="233" spans="1:17" x14ac:dyDescent="0.25">
      <c r="B233" s="389"/>
      <c r="C233" s="384"/>
      <c r="D233" s="776"/>
      <c r="G233" s="385"/>
      <c r="H233" s="385"/>
      <c r="I233" s="385"/>
      <c r="J233" s="385"/>
      <c r="K233" s="385"/>
      <c r="L233" s="385"/>
      <c r="M233" s="385"/>
      <c r="N233" s="385"/>
      <c r="O233" s="385"/>
      <c r="P233" s="385"/>
      <c r="Q233" s="385"/>
    </row>
    <row r="234" spans="1:17" x14ac:dyDescent="0.25">
      <c r="B234" s="389"/>
      <c r="C234" s="384"/>
      <c r="D234" s="776"/>
      <c r="G234" s="385"/>
      <c r="H234" s="385"/>
      <c r="I234" s="385"/>
      <c r="J234" s="385"/>
      <c r="K234" s="385"/>
      <c r="L234" s="385"/>
      <c r="M234" s="385"/>
      <c r="N234" s="385"/>
      <c r="O234" s="385"/>
      <c r="P234" s="385"/>
      <c r="Q234" s="385"/>
    </row>
    <row r="235" spans="1:17" x14ac:dyDescent="0.25">
      <c r="C235" s="390"/>
      <c r="D235" s="777"/>
      <c r="G235" s="385"/>
      <c r="H235" s="385"/>
      <c r="I235" s="385"/>
      <c r="J235" s="385"/>
      <c r="K235" s="385"/>
      <c r="L235" s="385"/>
      <c r="M235" s="385"/>
      <c r="N235" s="385"/>
      <c r="O235" s="385"/>
      <c r="P235" s="385"/>
      <c r="Q235" s="385"/>
    </row>
    <row r="236" spans="1:17" x14ac:dyDescent="0.25">
      <c r="G236" s="385"/>
      <c r="H236" s="385"/>
      <c r="I236" s="385"/>
      <c r="J236" s="385"/>
      <c r="K236" s="385"/>
      <c r="L236" s="385"/>
      <c r="M236" s="385"/>
      <c r="N236" s="385"/>
      <c r="O236" s="385"/>
      <c r="P236" s="385"/>
      <c r="Q236" s="385"/>
    </row>
    <row r="237" spans="1:17" x14ac:dyDescent="0.25">
      <c r="O237" s="391"/>
      <c r="P237" s="391"/>
      <c r="Q237" s="391"/>
    </row>
    <row r="240" spans="1:17" x14ac:dyDescent="0.25">
      <c r="A240" s="381"/>
      <c r="C240" s="381"/>
      <c r="D240" s="775"/>
      <c r="E240" s="382"/>
    </row>
    <row r="241" spans="2:17" x14ac:dyDescent="0.25">
      <c r="B241" s="386"/>
      <c r="C241" s="384"/>
      <c r="D241" s="776"/>
      <c r="E241" s="380"/>
      <c r="G241" s="385"/>
      <c r="H241" s="385"/>
      <c r="I241" s="385"/>
      <c r="J241" s="385"/>
      <c r="K241" s="385"/>
      <c r="L241" s="385"/>
      <c r="M241" s="385"/>
      <c r="N241" s="385"/>
      <c r="O241" s="385"/>
      <c r="P241" s="385"/>
      <c r="Q241" s="385"/>
    </row>
    <row r="242" spans="2:17" x14ac:dyDescent="0.25">
      <c r="B242" s="386"/>
      <c r="C242" s="384"/>
      <c r="D242" s="776"/>
      <c r="E242" s="380"/>
      <c r="F242" s="380"/>
      <c r="G242" s="387"/>
      <c r="H242" s="387"/>
      <c r="I242" s="387"/>
      <c r="J242" s="387"/>
      <c r="K242" s="387"/>
      <c r="L242" s="387"/>
      <c r="M242" s="387"/>
      <c r="N242" s="387"/>
      <c r="O242" s="387"/>
      <c r="P242" s="387"/>
      <c r="Q242" s="387"/>
    </row>
    <row r="243" spans="2:17" x14ac:dyDescent="0.25">
      <c r="B243" s="386"/>
      <c r="C243" s="384"/>
      <c r="D243" s="776"/>
      <c r="G243" s="385"/>
      <c r="H243" s="385"/>
      <c r="I243" s="385"/>
      <c r="J243" s="385"/>
      <c r="K243" s="385"/>
      <c r="L243" s="385"/>
      <c r="M243" s="385"/>
      <c r="N243" s="385"/>
      <c r="O243" s="385"/>
      <c r="P243" s="385"/>
      <c r="Q243" s="385"/>
    </row>
    <row r="244" spans="2:17" x14ac:dyDescent="0.25">
      <c r="B244" s="386"/>
      <c r="C244" s="384"/>
      <c r="D244" s="776"/>
      <c r="G244" s="385"/>
      <c r="H244" s="385"/>
      <c r="I244" s="385"/>
      <c r="J244" s="385"/>
      <c r="K244" s="385"/>
      <c r="L244" s="385"/>
      <c r="M244" s="385"/>
      <c r="N244" s="385"/>
      <c r="O244" s="385"/>
      <c r="P244" s="385"/>
      <c r="Q244" s="385"/>
    </row>
    <row r="245" spans="2:17" x14ac:dyDescent="0.25">
      <c r="B245" s="386"/>
      <c r="C245" s="384"/>
      <c r="D245" s="776"/>
      <c r="G245" s="385"/>
      <c r="H245" s="385"/>
      <c r="I245" s="385"/>
      <c r="J245" s="385"/>
      <c r="K245" s="385"/>
      <c r="L245" s="385"/>
      <c r="M245" s="385"/>
      <c r="N245" s="385"/>
      <c r="O245" s="385"/>
      <c r="P245" s="385"/>
      <c r="Q245" s="385"/>
    </row>
    <row r="246" spans="2:17" x14ac:dyDescent="0.25">
      <c r="B246" s="386"/>
      <c r="C246" s="384"/>
      <c r="D246" s="776"/>
      <c r="G246" s="385"/>
      <c r="H246" s="385"/>
      <c r="I246" s="385"/>
      <c r="J246" s="385"/>
      <c r="K246" s="385"/>
      <c r="L246" s="385"/>
      <c r="M246" s="385"/>
      <c r="N246" s="385"/>
      <c r="O246" s="385"/>
      <c r="P246" s="385"/>
      <c r="Q246" s="385"/>
    </row>
    <row r="247" spans="2:17" x14ac:dyDescent="0.25">
      <c r="B247" s="388"/>
      <c r="C247" s="384"/>
      <c r="D247" s="776"/>
      <c r="G247" s="385"/>
      <c r="H247" s="385"/>
      <c r="I247" s="385"/>
      <c r="J247" s="385"/>
      <c r="K247" s="385"/>
      <c r="L247" s="385"/>
      <c r="M247" s="385"/>
      <c r="N247" s="385"/>
      <c r="O247" s="385"/>
      <c r="P247" s="385"/>
      <c r="Q247" s="385"/>
    </row>
    <row r="248" spans="2:17" x14ac:dyDescent="0.25">
      <c r="C248" s="384"/>
      <c r="D248" s="776"/>
      <c r="G248" s="385"/>
      <c r="H248" s="385"/>
      <c r="I248" s="385"/>
      <c r="J248" s="385"/>
      <c r="K248" s="385"/>
      <c r="L248" s="385"/>
      <c r="M248" s="385"/>
      <c r="N248" s="385"/>
      <c r="O248" s="385"/>
      <c r="P248" s="385"/>
      <c r="Q248" s="385"/>
    </row>
    <row r="249" spans="2:17" x14ac:dyDescent="0.25">
      <c r="B249" s="386"/>
      <c r="C249" s="384"/>
      <c r="D249" s="776"/>
      <c r="G249" s="385"/>
      <c r="H249" s="385"/>
      <c r="I249" s="385"/>
      <c r="J249" s="385"/>
      <c r="K249" s="385"/>
      <c r="L249" s="385"/>
      <c r="M249" s="385"/>
      <c r="N249" s="385"/>
      <c r="O249" s="385"/>
      <c r="P249" s="385"/>
      <c r="Q249" s="385"/>
    </row>
    <row r="250" spans="2:17" x14ac:dyDescent="0.25">
      <c r="B250" s="386"/>
      <c r="C250" s="384"/>
      <c r="D250" s="776"/>
      <c r="G250" s="385"/>
      <c r="H250" s="385"/>
      <c r="I250" s="385"/>
      <c r="J250" s="385"/>
      <c r="K250" s="385"/>
      <c r="L250" s="385"/>
      <c r="M250" s="385"/>
      <c r="N250" s="385"/>
      <c r="O250" s="385"/>
      <c r="P250" s="385"/>
      <c r="Q250" s="385"/>
    </row>
    <row r="251" spans="2:17" x14ac:dyDescent="0.25">
      <c r="B251" s="386"/>
      <c r="C251" s="384"/>
      <c r="D251" s="776"/>
      <c r="G251" s="385"/>
      <c r="H251" s="385"/>
      <c r="I251" s="385"/>
      <c r="J251" s="385"/>
      <c r="K251" s="385"/>
      <c r="L251" s="385"/>
      <c r="M251" s="385"/>
      <c r="N251" s="385"/>
      <c r="O251" s="385"/>
      <c r="P251" s="385"/>
      <c r="Q251" s="385"/>
    </row>
    <row r="252" spans="2:17" x14ac:dyDescent="0.25">
      <c r="B252" s="386"/>
      <c r="C252" s="384"/>
      <c r="D252" s="776"/>
      <c r="G252" s="385"/>
      <c r="H252" s="385"/>
      <c r="I252" s="385"/>
      <c r="J252" s="385"/>
      <c r="K252" s="385"/>
      <c r="L252" s="385"/>
      <c r="M252" s="385"/>
      <c r="N252" s="385"/>
      <c r="O252" s="385"/>
      <c r="P252" s="385"/>
      <c r="Q252" s="385"/>
    </row>
    <row r="253" spans="2:17" x14ac:dyDescent="0.25">
      <c r="C253" s="384"/>
      <c r="D253" s="776"/>
      <c r="G253" s="385"/>
      <c r="H253" s="385"/>
      <c r="I253" s="385"/>
      <c r="J253" s="385"/>
      <c r="K253" s="385"/>
      <c r="L253" s="385"/>
      <c r="M253" s="385"/>
      <c r="N253" s="385"/>
      <c r="O253" s="385"/>
      <c r="P253" s="385"/>
      <c r="Q253" s="385"/>
    </row>
    <row r="254" spans="2:17" x14ac:dyDescent="0.25">
      <c r="B254" s="386"/>
      <c r="C254" s="384"/>
      <c r="D254" s="776"/>
      <c r="G254" s="385"/>
      <c r="H254" s="385"/>
      <c r="I254" s="385"/>
      <c r="J254" s="385"/>
      <c r="K254" s="385"/>
      <c r="L254" s="385"/>
      <c r="M254" s="385"/>
      <c r="N254" s="385"/>
      <c r="O254" s="385"/>
      <c r="P254" s="385"/>
      <c r="Q254" s="385"/>
    </row>
    <row r="255" spans="2:17" x14ac:dyDescent="0.25">
      <c r="B255" s="386"/>
      <c r="C255" s="384"/>
      <c r="D255" s="776"/>
      <c r="G255" s="385"/>
      <c r="H255" s="385"/>
      <c r="I255" s="385"/>
      <c r="J255" s="385"/>
      <c r="K255" s="385"/>
      <c r="L255" s="385"/>
      <c r="M255" s="385"/>
      <c r="N255" s="385"/>
      <c r="O255" s="385"/>
      <c r="P255" s="385"/>
      <c r="Q255" s="385"/>
    </row>
    <row r="256" spans="2:17" x14ac:dyDescent="0.25">
      <c r="B256" s="386"/>
      <c r="C256" s="384"/>
      <c r="D256" s="776"/>
      <c r="G256" s="385"/>
      <c r="H256" s="385"/>
      <c r="I256" s="385"/>
      <c r="J256" s="385"/>
      <c r="K256" s="385"/>
      <c r="L256" s="385"/>
      <c r="M256" s="385"/>
      <c r="N256" s="385"/>
      <c r="O256" s="385"/>
      <c r="P256" s="385"/>
      <c r="Q256" s="385"/>
    </row>
    <row r="257" spans="2:17" x14ac:dyDescent="0.25">
      <c r="B257" s="388"/>
      <c r="C257" s="384"/>
      <c r="D257" s="776"/>
      <c r="G257" s="385"/>
      <c r="H257" s="385"/>
      <c r="I257" s="385"/>
      <c r="J257" s="385"/>
      <c r="K257" s="385"/>
      <c r="L257" s="385"/>
      <c r="M257" s="385"/>
      <c r="N257" s="385"/>
      <c r="O257" s="385"/>
      <c r="P257" s="385"/>
      <c r="Q257" s="385"/>
    </row>
    <row r="258" spans="2:17" x14ac:dyDescent="0.25">
      <c r="B258" s="386"/>
      <c r="C258" s="384"/>
      <c r="D258" s="776"/>
      <c r="G258" s="385"/>
      <c r="H258" s="385"/>
      <c r="I258" s="385"/>
      <c r="J258" s="385"/>
      <c r="K258" s="385"/>
      <c r="L258" s="385"/>
      <c r="M258" s="385"/>
      <c r="N258" s="385"/>
      <c r="O258" s="385"/>
      <c r="P258" s="385"/>
      <c r="Q258" s="385"/>
    </row>
    <row r="259" spans="2:17" x14ac:dyDescent="0.25">
      <c r="B259" s="386"/>
      <c r="C259" s="384"/>
      <c r="D259" s="776"/>
      <c r="G259" s="385"/>
      <c r="H259" s="385"/>
      <c r="I259" s="385"/>
      <c r="J259" s="385"/>
      <c r="K259" s="385"/>
      <c r="L259" s="385"/>
      <c r="M259" s="385"/>
      <c r="N259" s="385"/>
      <c r="O259" s="385"/>
      <c r="P259" s="385"/>
      <c r="Q259" s="385"/>
    </row>
    <row r="260" spans="2:17" x14ac:dyDescent="0.25">
      <c r="B260" s="386"/>
      <c r="C260" s="384"/>
      <c r="D260" s="776"/>
      <c r="G260" s="385"/>
      <c r="H260" s="385"/>
      <c r="I260" s="385"/>
      <c r="J260" s="385"/>
      <c r="K260" s="385"/>
      <c r="L260" s="385"/>
      <c r="M260" s="385"/>
      <c r="N260" s="385"/>
      <c r="O260" s="385"/>
      <c r="P260" s="385"/>
      <c r="Q260" s="385"/>
    </row>
    <row r="261" spans="2:17" x14ac:dyDescent="0.25">
      <c r="B261" s="386"/>
      <c r="C261" s="384"/>
      <c r="D261" s="776"/>
      <c r="G261" s="385"/>
      <c r="H261" s="385"/>
      <c r="I261" s="385"/>
      <c r="J261" s="385"/>
      <c r="K261" s="385"/>
      <c r="L261" s="385"/>
      <c r="M261" s="385"/>
      <c r="N261" s="385"/>
      <c r="O261" s="385"/>
      <c r="P261" s="385"/>
      <c r="Q261" s="385"/>
    </row>
    <row r="262" spans="2:17" x14ac:dyDescent="0.25">
      <c r="B262" s="386"/>
      <c r="C262" s="384"/>
      <c r="D262" s="776"/>
      <c r="G262" s="385"/>
      <c r="H262" s="385"/>
      <c r="I262" s="385"/>
      <c r="J262" s="385"/>
      <c r="K262" s="385"/>
      <c r="L262" s="385"/>
      <c r="M262" s="385"/>
      <c r="N262" s="385"/>
      <c r="O262" s="385"/>
      <c r="P262" s="385"/>
      <c r="Q262" s="385"/>
    </row>
    <row r="263" spans="2:17" x14ac:dyDescent="0.25">
      <c r="B263" s="386"/>
      <c r="C263" s="384"/>
      <c r="D263" s="776"/>
      <c r="G263" s="385"/>
      <c r="H263" s="385"/>
      <c r="I263" s="385"/>
      <c r="J263" s="385"/>
      <c r="K263" s="385"/>
      <c r="L263" s="385"/>
      <c r="M263" s="385"/>
      <c r="N263" s="385"/>
      <c r="O263" s="385"/>
      <c r="P263" s="385"/>
      <c r="Q263" s="385"/>
    </row>
    <row r="264" spans="2:17" x14ac:dyDescent="0.25">
      <c r="B264" s="386"/>
      <c r="C264" s="384"/>
      <c r="D264" s="776"/>
      <c r="G264" s="385"/>
      <c r="H264" s="385"/>
      <c r="I264" s="385"/>
      <c r="J264" s="385"/>
      <c r="K264" s="385"/>
      <c r="L264" s="385"/>
      <c r="M264" s="385"/>
      <c r="N264" s="385"/>
      <c r="O264" s="385"/>
      <c r="P264" s="385"/>
      <c r="Q264" s="385"/>
    </row>
    <row r="265" spans="2:17" x14ac:dyDescent="0.25">
      <c r="B265" s="386"/>
      <c r="C265" s="384"/>
      <c r="D265" s="776"/>
      <c r="G265" s="385"/>
      <c r="H265" s="385"/>
      <c r="I265" s="385"/>
      <c r="J265" s="385"/>
      <c r="K265" s="385"/>
      <c r="L265" s="385"/>
      <c r="M265" s="385"/>
      <c r="N265" s="385"/>
      <c r="O265" s="385"/>
      <c r="P265" s="385"/>
      <c r="Q265" s="385"/>
    </row>
    <row r="266" spans="2:17" x14ac:dyDescent="0.25">
      <c r="B266" s="389"/>
      <c r="C266" s="384"/>
      <c r="D266" s="776"/>
      <c r="G266" s="385"/>
      <c r="H266" s="385"/>
      <c r="I266" s="385"/>
      <c r="J266" s="385"/>
      <c r="K266" s="385"/>
      <c r="L266" s="385"/>
      <c r="M266" s="385"/>
      <c r="N266" s="385"/>
      <c r="O266" s="385"/>
      <c r="P266" s="385"/>
      <c r="Q266" s="385"/>
    </row>
    <row r="267" spans="2:17" x14ac:dyDescent="0.25">
      <c r="C267" s="384"/>
      <c r="D267" s="776"/>
      <c r="G267" s="385"/>
      <c r="H267" s="385"/>
      <c r="I267" s="385"/>
      <c r="J267" s="385"/>
      <c r="K267" s="385"/>
      <c r="L267" s="385"/>
      <c r="M267" s="385"/>
      <c r="N267" s="385"/>
      <c r="O267" s="385"/>
      <c r="P267" s="385"/>
      <c r="Q267" s="385"/>
    </row>
    <row r="268" spans="2:17" x14ac:dyDescent="0.25">
      <c r="B268" s="389"/>
      <c r="C268" s="384"/>
      <c r="D268" s="776"/>
      <c r="G268" s="385"/>
      <c r="H268" s="385"/>
      <c r="I268" s="385"/>
      <c r="J268" s="385"/>
      <c r="K268" s="385"/>
      <c r="L268" s="385"/>
      <c r="M268" s="385"/>
      <c r="N268" s="385"/>
      <c r="O268" s="385"/>
      <c r="P268" s="385"/>
      <c r="Q268" s="385"/>
    </row>
    <row r="269" spans="2:17" x14ac:dyDescent="0.25">
      <c r="C269" s="384"/>
      <c r="D269" s="776"/>
      <c r="G269" s="385"/>
      <c r="H269" s="385"/>
      <c r="I269" s="385"/>
      <c r="J269" s="385"/>
      <c r="K269" s="385"/>
      <c r="L269" s="385"/>
      <c r="M269" s="385"/>
      <c r="N269" s="385"/>
      <c r="O269" s="385"/>
      <c r="P269" s="385"/>
      <c r="Q269" s="385"/>
    </row>
    <row r="270" spans="2:17" x14ac:dyDescent="0.25">
      <c r="B270" s="386"/>
      <c r="C270" s="384"/>
      <c r="D270" s="776"/>
      <c r="G270" s="385"/>
      <c r="H270" s="385"/>
      <c r="I270" s="385"/>
      <c r="J270" s="385"/>
      <c r="K270" s="385"/>
      <c r="L270" s="385"/>
      <c r="M270" s="385"/>
      <c r="N270" s="385"/>
      <c r="O270" s="385"/>
      <c r="P270" s="385"/>
      <c r="Q270" s="385"/>
    </row>
    <row r="271" spans="2:17" x14ac:dyDescent="0.25">
      <c r="B271" s="386"/>
      <c r="C271" s="384"/>
      <c r="D271" s="776"/>
      <c r="G271" s="385"/>
      <c r="H271" s="385"/>
      <c r="I271" s="385"/>
      <c r="J271" s="385"/>
      <c r="K271" s="385"/>
      <c r="L271" s="385"/>
      <c r="M271" s="385"/>
      <c r="N271" s="385"/>
      <c r="O271" s="385"/>
      <c r="P271" s="385"/>
      <c r="Q271" s="385"/>
    </row>
    <row r="272" spans="2:17" x14ac:dyDescent="0.25">
      <c r="B272" s="386"/>
      <c r="C272" s="384"/>
      <c r="D272" s="776"/>
      <c r="G272" s="385"/>
      <c r="H272" s="385"/>
      <c r="I272" s="385"/>
      <c r="J272" s="385"/>
      <c r="K272" s="385"/>
      <c r="L272" s="385"/>
      <c r="M272" s="385"/>
      <c r="N272" s="385"/>
      <c r="O272" s="385"/>
      <c r="P272" s="385"/>
      <c r="Q272" s="385"/>
    </row>
    <row r="273" spans="2:18" x14ac:dyDescent="0.25">
      <c r="B273" s="389"/>
      <c r="C273" s="384"/>
      <c r="D273" s="776"/>
      <c r="G273" s="385"/>
      <c r="H273" s="385"/>
      <c r="I273" s="385"/>
      <c r="J273" s="385"/>
      <c r="K273" s="385"/>
      <c r="L273" s="385"/>
      <c r="M273" s="385"/>
      <c r="N273" s="385"/>
      <c r="O273" s="385"/>
      <c r="P273" s="385"/>
      <c r="Q273" s="385"/>
    </row>
    <row r="274" spans="2:18" x14ac:dyDescent="0.25">
      <c r="C274" s="384"/>
      <c r="D274" s="776"/>
      <c r="G274" s="385"/>
      <c r="H274" s="385"/>
      <c r="I274" s="385"/>
      <c r="J274" s="385"/>
      <c r="K274" s="385"/>
      <c r="L274" s="385"/>
      <c r="M274" s="385"/>
      <c r="N274" s="385"/>
      <c r="O274" s="385"/>
      <c r="P274" s="385"/>
      <c r="Q274" s="385"/>
    </row>
    <row r="275" spans="2:18" x14ac:dyDescent="0.25">
      <c r="B275" s="386"/>
      <c r="C275" s="384"/>
      <c r="D275" s="776"/>
      <c r="G275" s="385"/>
      <c r="H275" s="385"/>
      <c r="I275" s="385"/>
      <c r="J275" s="385"/>
      <c r="K275" s="385"/>
      <c r="L275" s="385"/>
      <c r="M275" s="385"/>
      <c r="N275" s="385"/>
      <c r="O275" s="385"/>
      <c r="P275" s="385"/>
      <c r="Q275" s="385"/>
    </row>
    <row r="276" spans="2:18" x14ac:dyDescent="0.25">
      <c r="B276" s="386"/>
      <c r="C276" s="384"/>
      <c r="D276" s="776"/>
      <c r="G276" s="385"/>
      <c r="H276" s="385"/>
      <c r="I276" s="385"/>
      <c r="J276" s="385"/>
      <c r="K276" s="385"/>
      <c r="L276" s="385"/>
      <c r="M276" s="385"/>
      <c r="N276" s="385"/>
      <c r="O276" s="385"/>
      <c r="P276" s="385"/>
      <c r="Q276" s="385"/>
    </row>
    <row r="277" spans="2:18" x14ac:dyDescent="0.25">
      <c r="B277" s="389"/>
      <c r="C277" s="384"/>
      <c r="D277" s="776"/>
      <c r="G277" s="385"/>
      <c r="H277" s="385"/>
      <c r="I277" s="385"/>
      <c r="J277" s="385"/>
      <c r="K277" s="385"/>
      <c r="L277" s="385"/>
      <c r="M277" s="385"/>
      <c r="N277" s="385"/>
      <c r="O277" s="385"/>
      <c r="P277" s="385"/>
      <c r="Q277" s="385"/>
    </row>
    <row r="278" spans="2:18" x14ac:dyDescent="0.25">
      <c r="C278" s="384"/>
      <c r="D278" s="776"/>
      <c r="G278" s="385"/>
      <c r="H278" s="385"/>
      <c r="I278" s="385"/>
      <c r="J278" s="385"/>
      <c r="K278" s="385"/>
      <c r="L278" s="385"/>
      <c r="M278" s="385"/>
      <c r="N278" s="385"/>
      <c r="O278" s="385"/>
      <c r="P278" s="385"/>
      <c r="Q278" s="385"/>
    </row>
    <row r="279" spans="2:18" x14ac:dyDescent="0.25">
      <c r="B279" s="388"/>
      <c r="C279" s="390"/>
      <c r="D279" s="777"/>
      <c r="G279" s="385"/>
      <c r="H279" s="385"/>
      <c r="I279" s="385"/>
      <c r="J279" s="385"/>
      <c r="K279" s="385"/>
      <c r="L279" s="385"/>
      <c r="M279" s="385"/>
      <c r="N279" s="385"/>
      <c r="O279" s="385"/>
      <c r="P279" s="385"/>
      <c r="Q279" s="385"/>
    </row>
    <row r="280" spans="2:18" x14ac:dyDescent="0.25">
      <c r="B280" s="389"/>
      <c r="C280" s="384"/>
      <c r="D280" s="776"/>
      <c r="G280" s="385"/>
      <c r="H280" s="385"/>
      <c r="I280" s="385"/>
      <c r="J280" s="385"/>
      <c r="K280" s="385"/>
      <c r="L280" s="385"/>
      <c r="M280" s="385"/>
      <c r="N280" s="385"/>
      <c r="O280" s="385"/>
      <c r="P280" s="385"/>
      <c r="Q280" s="385"/>
    </row>
    <row r="281" spans="2:18" x14ac:dyDescent="0.25">
      <c r="B281" s="389"/>
      <c r="C281" s="384"/>
      <c r="D281" s="776"/>
      <c r="G281" s="385"/>
      <c r="H281" s="385"/>
      <c r="I281" s="385"/>
      <c r="J281" s="385"/>
      <c r="K281" s="385"/>
      <c r="L281" s="385"/>
      <c r="M281" s="385"/>
      <c r="N281" s="385"/>
      <c r="O281" s="385"/>
      <c r="P281" s="385"/>
      <c r="Q281" s="385"/>
    </row>
    <row r="282" spans="2:18" x14ac:dyDescent="0.25">
      <c r="C282" s="390"/>
      <c r="D282" s="777"/>
      <c r="G282" s="385"/>
      <c r="H282" s="385"/>
      <c r="I282" s="385"/>
      <c r="J282" s="385"/>
      <c r="K282" s="385"/>
      <c r="L282" s="385"/>
      <c r="M282" s="385"/>
      <c r="N282" s="385"/>
      <c r="O282" s="385"/>
      <c r="P282" s="385"/>
      <c r="Q282" s="385"/>
    </row>
    <row r="283" spans="2:18" x14ac:dyDescent="0.25">
      <c r="G283" s="385"/>
      <c r="H283" s="385"/>
      <c r="I283" s="385"/>
      <c r="J283" s="385"/>
      <c r="K283" s="385"/>
      <c r="L283" s="385"/>
      <c r="M283" s="385"/>
      <c r="N283" s="385"/>
      <c r="O283" s="385"/>
      <c r="P283" s="385"/>
      <c r="Q283" s="385"/>
    </row>
    <row r="284" spans="2:18" x14ac:dyDescent="0.25">
      <c r="O284" s="391"/>
      <c r="P284" s="391"/>
      <c r="Q284" s="391"/>
      <c r="R284" s="392"/>
    </row>
    <row r="285" spans="2:18" x14ac:dyDescent="0.25">
      <c r="O285" s="391"/>
      <c r="P285" s="391"/>
      <c r="Q285" s="391"/>
      <c r="R285" s="392"/>
    </row>
    <row r="286" spans="2:18" x14ac:dyDescent="0.25">
      <c r="O286" s="391"/>
      <c r="P286" s="391"/>
      <c r="Q286" s="391"/>
      <c r="R286" s="392"/>
    </row>
    <row r="287" spans="2:18" x14ac:dyDescent="0.25">
      <c r="O287" s="391"/>
      <c r="P287" s="391"/>
      <c r="Q287" s="391"/>
      <c r="R287" s="392"/>
    </row>
    <row r="288" spans="2:18" x14ac:dyDescent="0.25">
      <c r="O288" s="391"/>
      <c r="P288" s="391"/>
      <c r="Q288" s="391"/>
      <c r="R288" s="392"/>
    </row>
    <row r="289" spans="15:17" x14ac:dyDescent="0.25">
      <c r="O289" s="391"/>
      <c r="P289" s="391"/>
      <c r="Q289" s="391"/>
    </row>
  </sheetData>
  <protectedRanges>
    <protectedRange sqref="L18:M25" name="Range1_1"/>
  </protectedRanges>
  <mergeCells count="12">
    <mergeCell ref="A18:E18"/>
    <mergeCell ref="G18:H18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7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  <pageSetUpPr fitToPage="1"/>
  </sheetPr>
  <dimension ref="A1:N305"/>
  <sheetViews>
    <sheetView view="pageBreakPreview" zoomScale="80" zoomScaleNormal="70" zoomScaleSheetLayoutView="80" workbookViewId="0">
      <selection activeCell="J12" sqref="J12"/>
    </sheetView>
  </sheetViews>
  <sheetFormatPr defaultColWidth="10.7109375" defaultRowHeight="12.75" x14ac:dyDescent="0.25"/>
  <cols>
    <col min="1" max="1" width="10.7109375" style="360" customWidth="1"/>
    <col min="2" max="2" width="25.7109375" style="360" customWidth="1"/>
    <col min="3" max="3" width="8.42578125" style="374" customWidth="1"/>
    <col min="4" max="4" width="15.7109375" style="785" hidden="1" customWidth="1"/>
    <col min="5" max="6" width="12.7109375" style="375" customWidth="1"/>
    <col min="7" max="7" width="31.85546875" style="360" hidden="1" customWidth="1"/>
    <col min="8" max="8" width="50.7109375" style="373" customWidth="1"/>
    <col min="9" max="253" width="10.7109375" style="360"/>
    <col min="254" max="254" width="13.140625" style="360" customWidth="1"/>
    <col min="255" max="255" width="38" style="360" customWidth="1"/>
    <col min="256" max="256" width="8.42578125" style="360" customWidth="1"/>
    <col min="257" max="257" width="15.7109375" style="360" customWidth="1"/>
    <col min="258" max="258" width="18.28515625" style="360" customWidth="1"/>
    <col min="259" max="259" width="17.85546875" style="360" customWidth="1"/>
    <col min="260" max="260" width="0" style="360" hidden="1" customWidth="1"/>
    <col min="261" max="261" width="33.28515625" style="360" customWidth="1"/>
    <col min="262" max="509" width="10.7109375" style="360"/>
    <col min="510" max="510" width="13.140625" style="360" customWidth="1"/>
    <col min="511" max="511" width="38" style="360" customWidth="1"/>
    <col min="512" max="512" width="8.42578125" style="360" customWidth="1"/>
    <col min="513" max="513" width="15.7109375" style="360" customWidth="1"/>
    <col min="514" max="514" width="18.28515625" style="360" customWidth="1"/>
    <col min="515" max="515" width="17.85546875" style="360" customWidth="1"/>
    <col min="516" max="516" width="0" style="360" hidden="1" customWidth="1"/>
    <col min="517" max="517" width="33.28515625" style="360" customWidth="1"/>
    <col min="518" max="765" width="10.7109375" style="360"/>
    <col min="766" max="766" width="13.140625" style="360" customWidth="1"/>
    <col min="767" max="767" width="38" style="360" customWidth="1"/>
    <col min="768" max="768" width="8.42578125" style="360" customWidth="1"/>
    <col min="769" max="769" width="15.7109375" style="360" customWidth="1"/>
    <col min="770" max="770" width="18.28515625" style="360" customWidth="1"/>
    <col min="771" max="771" width="17.85546875" style="360" customWidth="1"/>
    <col min="772" max="772" width="0" style="360" hidden="1" customWidth="1"/>
    <col min="773" max="773" width="33.28515625" style="360" customWidth="1"/>
    <col min="774" max="1021" width="10.7109375" style="360"/>
    <col min="1022" max="1022" width="13.140625" style="360" customWidth="1"/>
    <col min="1023" max="1023" width="38" style="360" customWidth="1"/>
    <col min="1024" max="1024" width="8.42578125" style="360" customWidth="1"/>
    <col min="1025" max="1025" width="15.7109375" style="360" customWidth="1"/>
    <col min="1026" max="1026" width="18.28515625" style="360" customWidth="1"/>
    <col min="1027" max="1027" width="17.85546875" style="360" customWidth="1"/>
    <col min="1028" max="1028" width="0" style="360" hidden="1" customWidth="1"/>
    <col min="1029" max="1029" width="33.28515625" style="360" customWidth="1"/>
    <col min="1030" max="1277" width="10.7109375" style="360"/>
    <col min="1278" max="1278" width="13.140625" style="360" customWidth="1"/>
    <col min="1279" max="1279" width="38" style="360" customWidth="1"/>
    <col min="1280" max="1280" width="8.42578125" style="360" customWidth="1"/>
    <col min="1281" max="1281" width="15.7109375" style="360" customWidth="1"/>
    <col min="1282" max="1282" width="18.28515625" style="360" customWidth="1"/>
    <col min="1283" max="1283" width="17.85546875" style="360" customWidth="1"/>
    <col min="1284" max="1284" width="0" style="360" hidden="1" customWidth="1"/>
    <col min="1285" max="1285" width="33.28515625" style="360" customWidth="1"/>
    <col min="1286" max="1533" width="10.7109375" style="360"/>
    <col min="1534" max="1534" width="13.140625" style="360" customWidth="1"/>
    <col min="1535" max="1535" width="38" style="360" customWidth="1"/>
    <col min="1536" max="1536" width="8.42578125" style="360" customWidth="1"/>
    <col min="1537" max="1537" width="15.7109375" style="360" customWidth="1"/>
    <col min="1538" max="1538" width="18.28515625" style="360" customWidth="1"/>
    <col min="1539" max="1539" width="17.85546875" style="360" customWidth="1"/>
    <col min="1540" max="1540" width="0" style="360" hidden="1" customWidth="1"/>
    <col min="1541" max="1541" width="33.28515625" style="360" customWidth="1"/>
    <col min="1542" max="1789" width="10.7109375" style="360"/>
    <col min="1790" max="1790" width="13.140625" style="360" customWidth="1"/>
    <col min="1791" max="1791" width="38" style="360" customWidth="1"/>
    <col min="1792" max="1792" width="8.42578125" style="360" customWidth="1"/>
    <col min="1793" max="1793" width="15.7109375" style="360" customWidth="1"/>
    <col min="1794" max="1794" width="18.28515625" style="360" customWidth="1"/>
    <col min="1795" max="1795" width="17.85546875" style="360" customWidth="1"/>
    <col min="1796" max="1796" width="0" style="360" hidden="1" customWidth="1"/>
    <col min="1797" max="1797" width="33.28515625" style="360" customWidth="1"/>
    <col min="1798" max="2045" width="10.7109375" style="360"/>
    <col min="2046" max="2046" width="13.140625" style="360" customWidth="1"/>
    <col min="2047" max="2047" width="38" style="360" customWidth="1"/>
    <col min="2048" max="2048" width="8.42578125" style="360" customWidth="1"/>
    <col min="2049" max="2049" width="15.7109375" style="360" customWidth="1"/>
    <col min="2050" max="2050" width="18.28515625" style="360" customWidth="1"/>
    <col min="2051" max="2051" width="17.85546875" style="360" customWidth="1"/>
    <col min="2052" max="2052" width="0" style="360" hidden="1" customWidth="1"/>
    <col min="2053" max="2053" width="33.28515625" style="360" customWidth="1"/>
    <col min="2054" max="2301" width="10.7109375" style="360"/>
    <col min="2302" max="2302" width="13.140625" style="360" customWidth="1"/>
    <col min="2303" max="2303" width="38" style="360" customWidth="1"/>
    <col min="2304" max="2304" width="8.42578125" style="360" customWidth="1"/>
    <col min="2305" max="2305" width="15.7109375" style="360" customWidth="1"/>
    <col min="2306" max="2306" width="18.28515625" style="360" customWidth="1"/>
    <col min="2307" max="2307" width="17.85546875" style="360" customWidth="1"/>
    <col min="2308" max="2308" width="0" style="360" hidden="1" customWidth="1"/>
    <col min="2309" max="2309" width="33.28515625" style="360" customWidth="1"/>
    <col min="2310" max="2557" width="10.7109375" style="360"/>
    <col min="2558" max="2558" width="13.140625" style="360" customWidth="1"/>
    <col min="2559" max="2559" width="38" style="360" customWidth="1"/>
    <col min="2560" max="2560" width="8.42578125" style="360" customWidth="1"/>
    <col min="2561" max="2561" width="15.7109375" style="360" customWidth="1"/>
    <col min="2562" max="2562" width="18.28515625" style="360" customWidth="1"/>
    <col min="2563" max="2563" width="17.85546875" style="360" customWidth="1"/>
    <col min="2564" max="2564" width="0" style="360" hidden="1" customWidth="1"/>
    <col min="2565" max="2565" width="33.28515625" style="360" customWidth="1"/>
    <col min="2566" max="2813" width="10.7109375" style="360"/>
    <col min="2814" max="2814" width="13.140625" style="360" customWidth="1"/>
    <col min="2815" max="2815" width="38" style="360" customWidth="1"/>
    <col min="2816" max="2816" width="8.42578125" style="360" customWidth="1"/>
    <col min="2817" max="2817" width="15.7109375" style="360" customWidth="1"/>
    <col min="2818" max="2818" width="18.28515625" style="360" customWidth="1"/>
    <col min="2819" max="2819" width="17.85546875" style="360" customWidth="1"/>
    <col min="2820" max="2820" width="0" style="360" hidden="1" customWidth="1"/>
    <col min="2821" max="2821" width="33.28515625" style="360" customWidth="1"/>
    <col min="2822" max="3069" width="10.7109375" style="360"/>
    <col min="3070" max="3070" width="13.140625" style="360" customWidth="1"/>
    <col min="3071" max="3071" width="38" style="360" customWidth="1"/>
    <col min="3072" max="3072" width="8.42578125" style="360" customWidth="1"/>
    <col min="3073" max="3073" width="15.7109375" style="360" customWidth="1"/>
    <col min="3074" max="3074" width="18.28515625" style="360" customWidth="1"/>
    <col min="3075" max="3075" width="17.85546875" style="360" customWidth="1"/>
    <col min="3076" max="3076" width="0" style="360" hidden="1" customWidth="1"/>
    <col min="3077" max="3077" width="33.28515625" style="360" customWidth="1"/>
    <col min="3078" max="3325" width="10.7109375" style="360"/>
    <col min="3326" max="3326" width="13.140625" style="360" customWidth="1"/>
    <col min="3327" max="3327" width="38" style="360" customWidth="1"/>
    <col min="3328" max="3328" width="8.42578125" style="360" customWidth="1"/>
    <col min="3329" max="3329" width="15.7109375" style="360" customWidth="1"/>
    <col min="3330" max="3330" width="18.28515625" style="360" customWidth="1"/>
    <col min="3331" max="3331" width="17.85546875" style="360" customWidth="1"/>
    <col min="3332" max="3332" width="0" style="360" hidden="1" customWidth="1"/>
    <col min="3333" max="3333" width="33.28515625" style="360" customWidth="1"/>
    <col min="3334" max="3581" width="10.7109375" style="360"/>
    <col min="3582" max="3582" width="13.140625" style="360" customWidth="1"/>
    <col min="3583" max="3583" width="38" style="360" customWidth="1"/>
    <col min="3584" max="3584" width="8.42578125" style="360" customWidth="1"/>
    <col min="3585" max="3585" width="15.7109375" style="360" customWidth="1"/>
    <col min="3586" max="3586" width="18.28515625" style="360" customWidth="1"/>
    <col min="3587" max="3587" width="17.85546875" style="360" customWidth="1"/>
    <col min="3588" max="3588" width="0" style="360" hidden="1" customWidth="1"/>
    <col min="3589" max="3589" width="33.28515625" style="360" customWidth="1"/>
    <col min="3590" max="3837" width="10.7109375" style="360"/>
    <col min="3838" max="3838" width="13.140625" style="360" customWidth="1"/>
    <col min="3839" max="3839" width="38" style="360" customWidth="1"/>
    <col min="3840" max="3840" width="8.42578125" style="360" customWidth="1"/>
    <col min="3841" max="3841" width="15.7109375" style="360" customWidth="1"/>
    <col min="3842" max="3842" width="18.28515625" style="360" customWidth="1"/>
    <col min="3843" max="3843" width="17.85546875" style="360" customWidth="1"/>
    <col min="3844" max="3844" width="0" style="360" hidden="1" customWidth="1"/>
    <col min="3845" max="3845" width="33.28515625" style="360" customWidth="1"/>
    <col min="3846" max="4093" width="10.7109375" style="360"/>
    <col min="4094" max="4094" width="13.140625" style="360" customWidth="1"/>
    <col min="4095" max="4095" width="38" style="360" customWidth="1"/>
    <col min="4096" max="4096" width="8.42578125" style="360" customWidth="1"/>
    <col min="4097" max="4097" width="15.7109375" style="360" customWidth="1"/>
    <col min="4098" max="4098" width="18.28515625" style="360" customWidth="1"/>
    <col min="4099" max="4099" width="17.85546875" style="360" customWidth="1"/>
    <col min="4100" max="4100" width="0" style="360" hidden="1" customWidth="1"/>
    <col min="4101" max="4101" width="33.28515625" style="360" customWidth="1"/>
    <col min="4102" max="4349" width="10.7109375" style="360"/>
    <col min="4350" max="4350" width="13.140625" style="360" customWidth="1"/>
    <col min="4351" max="4351" width="38" style="360" customWidth="1"/>
    <col min="4352" max="4352" width="8.42578125" style="360" customWidth="1"/>
    <col min="4353" max="4353" width="15.7109375" style="360" customWidth="1"/>
    <col min="4354" max="4354" width="18.28515625" style="360" customWidth="1"/>
    <col min="4355" max="4355" width="17.85546875" style="360" customWidth="1"/>
    <col min="4356" max="4356" width="0" style="360" hidden="1" customWidth="1"/>
    <col min="4357" max="4357" width="33.28515625" style="360" customWidth="1"/>
    <col min="4358" max="4605" width="10.7109375" style="360"/>
    <col min="4606" max="4606" width="13.140625" style="360" customWidth="1"/>
    <col min="4607" max="4607" width="38" style="360" customWidth="1"/>
    <col min="4608" max="4608" width="8.42578125" style="360" customWidth="1"/>
    <col min="4609" max="4609" width="15.7109375" style="360" customWidth="1"/>
    <col min="4610" max="4610" width="18.28515625" style="360" customWidth="1"/>
    <col min="4611" max="4611" width="17.85546875" style="360" customWidth="1"/>
    <col min="4612" max="4612" width="0" style="360" hidden="1" customWidth="1"/>
    <col min="4613" max="4613" width="33.28515625" style="360" customWidth="1"/>
    <col min="4614" max="4861" width="10.7109375" style="360"/>
    <col min="4862" max="4862" width="13.140625" style="360" customWidth="1"/>
    <col min="4863" max="4863" width="38" style="360" customWidth="1"/>
    <col min="4864" max="4864" width="8.42578125" style="360" customWidth="1"/>
    <col min="4865" max="4865" width="15.7109375" style="360" customWidth="1"/>
    <col min="4866" max="4866" width="18.28515625" style="360" customWidth="1"/>
    <col min="4867" max="4867" width="17.85546875" style="360" customWidth="1"/>
    <col min="4868" max="4868" width="0" style="360" hidden="1" customWidth="1"/>
    <col min="4869" max="4869" width="33.28515625" style="360" customWidth="1"/>
    <col min="4870" max="5117" width="10.7109375" style="360"/>
    <col min="5118" max="5118" width="13.140625" style="360" customWidth="1"/>
    <col min="5119" max="5119" width="38" style="360" customWidth="1"/>
    <col min="5120" max="5120" width="8.42578125" style="360" customWidth="1"/>
    <col min="5121" max="5121" width="15.7109375" style="360" customWidth="1"/>
    <col min="5122" max="5122" width="18.28515625" style="360" customWidth="1"/>
    <col min="5123" max="5123" width="17.85546875" style="360" customWidth="1"/>
    <col min="5124" max="5124" width="0" style="360" hidden="1" customWidth="1"/>
    <col min="5125" max="5125" width="33.28515625" style="360" customWidth="1"/>
    <col min="5126" max="5373" width="10.7109375" style="360"/>
    <col min="5374" max="5374" width="13.140625" style="360" customWidth="1"/>
    <col min="5375" max="5375" width="38" style="360" customWidth="1"/>
    <col min="5376" max="5376" width="8.42578125" style="360" customWidth="1"/>
    <col min="5377" max="5377" width="15.7109375" style="360" customWidth="1"/>
    <col min="5378" max="5378" width="18.28515625" style="360" customWidth="1"/>
    <col min="5379" max="5379" width="17.85546875" style="360" customWidth="1"/>
    <col min="5380" max="5380" width="0" style="360" hidden="1" customWidth="1"/>
    <col min="5381" max="5381" width="33.28515625" style="360" customWidth="1"/>
    <col min="5382" max="5629" width="10.7109375" style="360"/>
    <col min="5630" max="5630" width="13.140625" style="360" customWidth="1"/>
    <col min="5631" max="5631" width="38" style="360" customWidth="1"/>
    <col min="5632" max="5632" width="8.42578125" style="360" customWidth="1"/>
    <col min="5633" max="5633" width="15.7109375" style="360" customWidth="1"/>
    <col min="5634" max="5634" width="18.28515625" style="360" customWidth="1"/>
    <col min="5635" max="5635" width="17.85546875" style="360" customWidth="1"/>
    <col min="5636" max="5636" width="0" style="360" hidden="1" customWidth="1"/>
    <col min="5637" max="5637" width="33.28515625" style="360" customWidth="1"/>
    <col min="5638" max="5885" width="10.7109375" style="360"/>
    <col min="5886" max="5886" width="13.140625" style="360" customWidth="1"/>
    <col min="5887" max="5887" width="38" style="360" customWidth="1"/>
    <col min="5888" max="5888" width="8.42578125" style="360" customWidth="1"/>
    <col min="5889" max="5889" width="15.7109375" style="360" customWidth="1"/>
    <col min="5890" max="5890" width="18.28515625" style="360" customWidth="1"/>
    <col min="5891" max="5891" width="17.85546875" style="360" customWidth="1"/>
    <col min="5892" max="5892" width="0" style="360" hidden="1" customWidth="1"/>
    <col min="5893" max="5893" width="33.28515625" style="360" customWidth="1"/>
    <col min="5894" max="6141" width="10.7109375" style="360"/>
    <col min="6142" max="6142" width="13.140625" style="360" customWidth="1"/>
    <col min="6143" max="6143" width="38" style="360" customWidth="1"/>
    <col min="6144" max="6144" width="8.42578125" style="360" customWidth="1"/>
    <col min="6145" max="6145" width="15.7109375" style="360" customWidth="1"/>
    <col min="6146" max="6146" width="18.28515625" style="360" customWidth="1"/>
    <col min="6147" max="6147" width="17.85546875" style="360" customWidth="1"/>
    <col min="6148" max="6148" width="0" style="360" hidden="1" customWidth="1"/>
    <col min="6149" max="6149" width="33.28515625" style="360" customWidth="1"/>
    <col min="6150" max="6397" width="10.7109375" style="360"/>
    <col min="6398" max="6398" width="13.140625" style="360" customWidth="1"/>
    <col min="6399" max="6399" width="38" style="360" customWidth="1"/>
    <col min="6400" max="6400" width="8.42578125" style="360" customWidth="1"/>
    <col min="6401" max="6401" width="15.7109375" style="360" customWidth="1"/>
    <col min="6402" max="6402" width="18.28515625" style="360" customWidth="1"/>
    <col min="6403" max="6403" width="17.85546875" style="360" customWidth="1"/>
    <col min="6404" max="6404" width="0" style="360" hidden="1" customWidth="1"/>
    <col min="6405" max="6405" width="33.28515625" style="360" customWidth="1"/>
    <col min="6406" max="6653" width="10.7109375" style="360"/>
    <col min="6654" max="6654" width="13.140625" style="360" customWidth="1"/>
    <col min="6655" max="6655" width="38" style="360" customWidth="1"/>
    <col min="6656" max="6656" width="8.42578125" style="360" customWidth="1"/>
    <col min="6657" max="6657" width="15.7109375" style="360" customWidth="1"/>
    <col min="6658" max="6658" width="18.28515625" style="360" customWidth="1"/>
    <col min="6659" max="6659" width="17.85546875" style="360" customWidth="1"/>
    <col min="6660" max="6660" width="0" style="360" hidden="1" customWidth="1"/>
    <col min="6661" max="6661" width="33.28515625" style="360" customWidth="1"/>
    <col min="6662" max="6909" width="10.7109375" style="360"/>
    <col min="6910" max="6910" width="13.140625" style="360" customWidth="1"/>
    <col min="6911" max="6911" width="38" style="360" customWidth="1"/>
    <col min="6912" max="6912" width="8.42578125" style="360" customWidth="1"/>
    <col min="6913" max="6913" width="15.7109375" style="360" customWidth="1"/>
    <col min="6914" max="6914" width="18.28515625" style="360" customWidth="1"/>
    <col min="6915" max="6915" width="17.85546875" style="360" customWidth="1"/>
    <col min="6916" max="6916" width="0" style="360" hidden="1" customWidth="1"/>
    <col min="6917" max="6917" width="33.28515625" style="360" customWidth="1"/>
    <col min="6918" max="7165" width="10.7109375" style="360"/>
    <col min="7166" max="7166" width="13.140625" style="360" customWidth="1"/>
    <col min="7167" max="7167" width="38" style="360" customWidth="1"/>
    <col min="7168" max="7168" width="8.42578125" style="360" customWidth="1"/>
    <col min="7169" max="7169" width="15.7109375" style="360" customWidth="1"/>
    <col min="7170" max="7170" width="18.28515625" style="360" customWidth="1"/>
    <col min="7171" max="7171" width="17.85546875" style="360" customWidth="1"/>
    <col min="7172" max="7172" width="0" style="360" hidden="1" customWidth="1"/>
    <col min="7173" max="7173" width="33.28515625" style="360" customWidth="1"/>
    <col min="7174" max="7421" width="10.7109375" style="360"/>
    <col min="7422" max="7422" width="13.140625" style="360" customWidth="1"/>
    <col min="7423" max="7423" width="38" style="360" customWidth="1"/>
    <col min="7424" max="7424" width="8.42578125" style="360" customWidth="1"/>
    <col min="7425" max="7425" width="15.7109375" style="360" customWidth="1"/>
    <col min="7426" max="7426" width="18.28515625" style="360" customWidth="1"/>
    <col min="7427" max="7427" width="17.85546875" style="360" customWidth="1"/>
    <col min="7428" max="7428" width="0" style="360" hidden="1" customWidth="1"/>
    <col min="7429" max="7429" width="33.28515625" style="360" customWidth="1"/>
    <col min="7430" max="7677" width="10.7109375" style="360"/>
    <col min="7678" max="7678" width="13.140625" style="360" customWidth="1"/>
    <col min="7679" max="7679" width="38" style="360" customWidth="1"/>
    <col min="7680" max="7680" width="8.42578125" style="360" customWidth="1"/>
    <col min="7681" max="7681" width="15.7109375" style="360" customWidth="1"/>
    <col min="7682" max="7682" width="18.28515625" style="360" customWidth="1"/>
    <col min="7683" max="7683" width="17.85546875" style="360" customWidth="1"/>
    <col min="7684" max="7684" width="0" style="360" hidden="1" customWidth="1"/>
    <col min="7685" max="7685" width="33.28515625" style="360" customWidth="1"/>
    <col min="7686" max="7933" width="10.7109375" style="360"/>
    <col min="7934" max="7934" width="13.140625" style="360" customWidth="1"/>
    <col min="7935" max="7935" width="38" style="360" customWidth="1"/>
    <col min="7936" max="7936" width="8.42578125" style="360" customWidth="1"/>
    <col min="7937" max="7937" width="15.7109375" style="360" customWidth="1"/>
    <col min="7938" max="7938" width="18.28515625" style="360" customWidth="1"/>
    <col min="7939" max="7939" width="17.85546875" style="360" customWidth="1"/>
    <col min="7940" max="7940" width="0" style="360" hidden="1" customWidth="1"/>
    <col min="7941" max="7941" width="33.28515625" style="360" customWidth="1"/>
    <col min="7942" max="8189" width="10.7109375" style="360"/>
    <col min="8190" max="8190" width="13.140625" style="360" customWidth="1"/>
    <col min="8191" max="8191" width="38" style="360" customWidth="1"/>
    <col min="8192" max="8192" width="8.42578125" style="360" customWidth="1"/>
    <col min="8193" max="8193" width="15.7109375" style="360" customWidth="1"/>
    <col min="8194" max="8194" width="18.28515625" style="360" customWidth="1"/>
    <col min="8195" max="8195" width="17.85546875" style="360" customWidth="1"/>
    <col min="8196" max="8196" width="0" style="360" hidden="1" customWidth="1"/>
    <col min="8197" max="8197" width="33.28515625" style="360" customWidth="1"/>
    <col min="8198" max="8445" width="10.7109375" style="360"/>
    <col min="8446" max="8446" width="13.140625" style="360" customWidth="1"/>
    <col min="8447" max="8447" width="38" style="360" customWidth="1"/>
    <col min="8448" max="8448" width="8.42578125" style="360" customWidth="1"/>
    <col min="8449" max="8449" width="15.7109375" style="360" customWidth="1"/>
    <col min="8450" max="8450" width="18.28515625" style="360" customWidth="1"/>
    <col min="8451" max="8451" width="17.85546875" style="360" customWidth="1"/>
    <col min="8452" max="8452" width="0" style="360" hidden="1" customWidth="1"/>
    <col min="8453" max="8453" width="33.28515625" style="360" customWidth="1"/>
    <col min="8454" max="8701" width="10.7109375" style="360"/>
    <col min="8702" max="8702" width="13.140625" style="360" customWidth="1"/>
    <col min="8703" max="8703" width="38" style="360" customWidth="1"/>
    <col min="8704" max="8704" width="8.42578125" style="360" customWidth="1"/>
    <col min="8705" max="8705" width="15.7109375" style="360" customWidth="1"/>
    <col min="8706" max="8706" width="18.28515625" style="360" customWidth="1"/>
    <col min="8707" max="8707" width="17.85546875" style="360" customWidth="1"/>
    <col min="8708" max="8708" width="0" style="360" hidden="1" customWidth="1"/>
    <col min="8709" max="8709" width="33.28515625" style="360" customWidth="1"/>
    <col min="8710" max="8957" width="10.7109375" style="360"/>
    <col min="8958" max="8958" width="13.140625" style="360" customWidth="1"/>
    <col min="8959" max="8959" width="38" style="360" customWidth="1"/>
    <col min="8960" max="8960" width="8.42578125" style="360" customWidth="1"/>
    <col min="8961" max="8961" width="15.7109375" style="360" customWidth="1"/>
    <col min="8962" max="8962" width="18.28515625" style="360" customWidth="1"/>
    <col min="8963" max="8963" width="17.85546875" style="360" customWidth="1"/>
    <col min="8964" max="8964" width="0" style="360" hidden="1" customWidth="1"/>
    <col min="8965" max="8965" width="33.28515625" style="360" customWidth="1"/>
    <col min="8966" max="9213" width="10.7109375" style="360"/>
    <col min="9214" max="9214" width="13.140625" style="360" customWidth="1"/>
    <col min="9215" max="9215" width="38" style="360" customWidth="1"/>
    <col min="9216" max="9216" width="8.42578125" style="360" customWidth="1"/>
    <col min="9217" max="9217" width="15.7109375" style="360" customWidth="1"/>
    <col min="9218" max="9218" width="18.28515625" style="360" customWidth="1"/>
    <col min="9219" max="9219" width="17.85546875" style="360" customWidth="1"/>
    <col min="9220" max="9220" width="0" style="360" hidden="1" customWidth="1"/>
    <col min="9221" max="9221" width="33.28515625" style="360" customWidth="1"/>
    <col min="9222" max="9469" width="10.7109375" style="360"/>
    <col min="9470" max="9470" width="13.140625" style="360" customWidth="1"/>
    <col min="9471" max="9471" width="38" style="360" customWidth="1"/>
    <col min="9472" max="9472" width="8.42578125" style="360" customWidth="1"/>
    <col min="9473" max="9473" width="15.7109375" style="360" customWidth="1"/>
    <col min="9474" max="9474" width="18.28515625" style="360" customWidth="1"/>
    <col min="9475" max="9475" width="17.85546875" style="360" customWidth="1"/>
    <col min="9476" max="9476" width="0" style="360" hidden="1" customWidth="1"/>
    <col min="9477" max="9477" width="33.28515625" style="360" customWidth="1"/>
    <col min="9478" max="9725" width="10.7109375" style="360"/>
    <col min="9726" max="9726" width="13.140625" style="360" customWidth="1"/>
    <col min="9727" max="9727" width="38" style="360" customWidth="1"/>
    <col min="9728" max="9728" width="8.42578125" style="360" customWidth="1"/>
    <col min="9729" max="9729" width="15.7109375" style="360" customWidth="1"/>
    <col min="9730" max="9730" width="18.28515625" style="360" customWidth="1"/>
    <col min="9731" max="9731" width="17.85546875" style="360" customWidth="1"/>
    <col min="9732" max="9732" width="0" style="360" hidden="1" customWidth="1"/>
    <col min="9733" max="9733" width="33.28515625" style="360" customWidth="1"/>
    <col min="9734" max="9981" width="10.7109375" style="360"/>
    <col min="9982" max="9982" width="13.140625" style="360" customWidth="1"/>
    <col min="9983" max="9983" width="38" style="360" customWidth="1"/>
    <col min="9984" max="9984" width="8.42578125" style="360" customWidth="1"/>
    <col min="9985" max="9985" width="15.7109375" style="360" customWidth="1"/>
    <col min="9986" max="9986" width="18.28515625" style="360" customWidth="1"/>
    <col min="9987" max="9987" width="17.85546875" style="360" customWidth="1"/>
    <col min="9988" max="9988" width="0" style="360" hidden="1" customWidth="1"/>
    <col min="9989" max="9989" width="33.28515625" style="360" customWidth="1"/>
    <col min="9990" max="10237" width="10.7109375" style="360"/>
    <col min="10238" max="10238" width="13.140625" style="360" customWidth="1"/>
    <col min="10239" max="10239" width="38" style="360" customWidth="1"/>
    <col min="10240" max="10240" width="8.42578125" style="360" customWidth="1"/>
    <col min="10241" max="10241" width="15.7109375" style="360" customWidth="1"/>
    <col min="10242" max="10242" width="18.28515625" style="360" customWidth="1"/>
    <col min="10243" max="10243" width="17.85546875" style="360" customWidth="1"/>
    <col min="10244" max="10244" width="0" style="360" hidden="1" customWidth="1"/>
    <col min="10245" max="10245" width="33.28515625" style="360" customWidth="1"/>
    <col min="10246" max="10493" width="10.7109375" style="360"/>
    <col min="10494" max="10494" width="13.140625" style="360" customWidth="1"/>
    <col min="10495" max="10495" width="38" style="360" customWidth="1"/>
    <col min="10496" max="10496" width="8.42578125" style="360" customWidth="1"/>
    <col min="10497" max="10497" width="15.7109375" style="360" customWidth="1"/>
    <col min="10498" max="10498" width="18.28515625" style="360" customWidth="1"/>
    <col min="10499" max="10499" width="17.85546875" style="360" customWidth="1"/>
    <col min="10500" max="10500" width="0" style="360" hidden="1" customWidth="1"/>
    <col min="10501" max="10501" width="33.28515625" style="360" customWidth="1"/>
    <col min="10502" max="10749" width="10.7109375" style="360"/>
    <col min="10750" max="10750" width="13.140625" style="360" customWidth="1"/>
    <col min="10751" max="10751" width="38" style="360" customWidth="1"/>
    <col min="10752" max="10752" width="8.42578125" style="360" customWidth="1"/>
    <col min="10753" max="10753" width="15.7109375" style="360" customWidth="1"/>
    <col min="10754" max="10754" width="18.28515625" style="360" customWidth="1"/>
    <col min="10755" max="10755" width="17.85546875" style="360" customWidth="1"/>
    <col min="10756" max="10756" width="0" style="360" hidden="1" customWidth="1"/>
    <col min="10757" max="10757" width="33.28515625" style="360" customWidth="1"/>
    <col min="10758" max="11005" width="10.7109375" style="360"/>
    <col min="11006" max="11006" width="13.140625" style="360" customWidth="1"/>
    <col min="11007" max="11007" width="38" style="360" customWidth="1"/>
    <col min="11008" max="11008" width="8.42578125" style="360" customWidth="1"/>
    <col min="11009" max="11009" width="15.7109375" style="360" customWidth="1"/>
    <col min="11010" max="11010" width="18.28515625" style="360" customWidth="1"/>
    <col min="11011" max="11011" width="17.85546875" style="360" customWidth="1"/>
    <col min="11012" max="11012" width="0" style="360" hidden="1" customWidth="1"/>
    <col min="11013" max="11013" width="33.28515625" style="360" customWidth="1"/>
    <col min="11014" max="11261" width="10.7109375" style="360"/>
    <col min="11262" max="11262" width="13.140625" style="360" customWidth="1"/>
    <col min="11263" max="11263" width="38" style="360" customWidth="1"/>
    <col min="11264" max="11264" width="8.42578125" style="360" customWidth="1"/>
    <col min="11265" max="11265" width="15.7109375" style="360" customWidth="1"/>
    <col min="11266" max="11266" width="18.28515625" style="360" customWidth="1"/>
    <col min="11267" max="11267" width="17.85546875" style="360" customWidth="1"/>
    <col min="11268" max="11268" width="0" style="360" hidden="1" customWidth="1"/>
    <col min="11269" max="11269" width="33.28515625" style="360" customWidth="1"/>
    <col min="11270" max="11517" width="10.7109375" style="360"/>
    <col min="11518" max="11518" width="13.140625" style="360" customWidth="1"/>
    <col min="11519" max="11519" width="38" style="360" customWidth="1"/>
    <col min="11520" max="11520" width="8.42578125" style="360" customWidth="1"/>
    <col min="11521" max="11521" width="15.7109375" style="360" customWidth="1"/>
    <col min="11522" max="11522" width="18.28515625" style="360" customWidth="1"/>
    <col min="11523" max="11523" width="17.85546875" style="360" customWidth="1"/>
    <col min="11524" max="11524" width="0" style="360" hidden="1" customWidth="1"/>
    <col min="11525" max="11525" width="33.28515625" style="360" customWidth="1"/>
    <col min="11526" max="11773" width="10.7109375" style="360"/>
    <col min="11774" max="11774" width="13.140625" style="360" customWidth="1"/>
    <col min="11775" max="11775" width="38" style="360" customWidth="1"/>
    <col min="11776" max="11776" width="8.42578125" style="360" customWidth="1"/>
    <col min="11777" max="11777" width="15.7109375" style="360" customWidth="1"/>
    <col min="11778" max="11778" width="18.28515625" style="360" customWidth="1"/>
    <col min="11779" max="11779" width="17.85546875" style="360" customWidth="1"/>
    <col min="11780" max="11780" width="0" style="360" hidden="1" customWidth="1"/>
    <col min="11781" max="11781" width="33.28515625" style="360" customWidth="1"/>
    <col min="11782" max="12029" width="10.7109375" style="360"/>
    <col min="12030" max="12030" width="13.140625" style="360" customWidth="1"/>
    <col min="12031" max="12031" width="38" style="360" customWidth="1"/>
    <col min="12032" max="12032" width="8.42578125" style="360" customWidth="1"/>
    <col min="12033" max="12033" width="15.7109375" style="360" customWidth="1"/>
    <col min="12034" max="12034" width="18.28515625" style="360" customWidth="1"/>
    <col min="12035" max="12035" width="17.85546875" style="360" customWidth="1"/>
    <col min="12036" max="12036" width="0" style="360" hidden="1" customWidth="1"/>
    <col min="12037" max="12037" width="33.28515625" style="360" customWidth="1"/>
    <col min="12038" max="12285" width="10.7109375" style="360"/>
    <col min="12286" max="12286" width="13.140625" style="360" customWidth="1"/>
    <col min="12287" max="12287" width="38" style="360" customWidth="1"/>
    <col min="12288" max="12288" width="8.42578125" style="360" customWidth="1"/>
    <col min="12289" max="12289" width="15.7109375" style="360" customWidth="1"/>
    <col min="12290" max="12290" width="18.28515625" style="360" customWidth="1"/>
    <col min="12291" max="12291" width="17.85546875" style="360" customWidth="1"/>
    <col min="12292" max="12292" width="0" style="360" hidden="1" customWidth="1"/>
    <col min="12293" max="12293" width="33.28515625" style="360" customWidth="1"/>
    <col min="12294" max="12541" width="10.7109375" style="360"/>
    <col min="12542" max="12542" width="13.140625" style="360" customWidth="1"/>
    <col min="12543" max="12543" width="38" style="360" customWidth="1"/>
    <col min="12544" max="12544" width="8.42578125" style="360" customWidth="1"/>
    <col min="12545" max="12545" width="15.7109375" style="360" customWidth="1"/>
    <col min="12546" max="12546" width="18.28515625" style="360" customWidth="1"/>
    <col min="12547" max="12547" width="17.85546875" style="360" customWidth="1"/>
    <col min="12548" max="12548" width="0" style="360" hidden="1" customWidth="1"/>
    <col min="12549" max="12549" width="33.28515625" style="360" customWidth="1"/>
    <col min="12550" max="12797" width="10.7109375" style="360"/>
    <col min="12798" max="12798" width="13.140625" style="360" customWidth="1"/>
    <col min="12799" max="12799" width="38" style="360" customWidth="1"/>
    <col min="12800" max="12800" width="8.42578125" style="360" customWidth="1"/>
    <col min="12801" max="12801" width="15.7109375" style="360" customWidth="1"/>
    <col min="12802" max="12802" width="18.28515625" style="360" customWidth="1"/>
    <col min="12803" max="12803" width="17.85546875" style="360" customWidth="1"/>
    <col min="12804" max="12804" width="0" style="360" hidden="1" customWidth="1"/>
    <col min="12805" max="12805" width="33.28515625" style="360" customWidth="1"/>
    <col min="12806" max="13053" width="10.7109375" style="360"/>
    <col min="13054" max="13054" width="13.140625" style="360" customWidth="1"/>
    <col min="13055" max="13055" width="38" style="360" customWidth="1"/>
    <col min="13056" max="13056" width="8.42578125" style="360" customWidth="1"/>
    <col min="13057" max="13057" width="15.7109375" style="360" customWidth="1"/>
    <col min="13058" max="13058" width="18.28515625" style="360" customWidth="1"/>
    <col min="13059" max="13059" width="17.85546875" style="360" customWidth="1"/>
    <col min="13060" max="13060" width="0" style="360" hidden="1" customWidth="1"/>
    <col min="13061" max="13061" width="33.28515625" style="360" customWidth="1"/>
    <col min="13062" max="13309" width="10.7109375" style="360"/>
    <col min="13310" max="13310" width="13.140625" style="360" customWidth="1"/>
    <col min="13311" max="13311" width="38" style="360" customWidth="1"/>
    <col min="13312" max="13312" width="8.42578125" style="360" customWidth="1"/>
    <col min="13313" max="13313" width="15.7109375" style="360" customWidth="1"/>
    <col min="13314" max="13314" width="18.28515625" style="360" customWidth="1"/>
    <col min="13315" max="13315" width="17.85546875" style="360" customWidth="1"/>
    <col min="13316" max="13316" width="0" style="360" hidden="1" customWidth="1"/>
    <col min="13317" max="13317" width="33.28515625" style="360" customWidth="1"/>
    <col min="13318" max="13565" width="10.7109375" style="360"/>
    <col min="13566" max="13566" width="13.140625" style="360" customWidth="1"/>
    <col min="13567" max="13567" width="38" style="360" customWidth="1"/>
    <col min="13568" max="13568" width="8.42578125" style="360" customWidth="1"/>
    <col min="13569" max="13569" width="15.7109375" style="360" customWidth="1"/>
    <col min="13570" max="13570" width="18.28515625" style="360" customWidth="1"/>
    <col min="13571" max="13571" width="17.85546875" style="360" customWidth="1"/>
    <col min="13572" max="13572" width="0" style="360" hidden="1" customWidth="1"/>
    <col min="13573" max="13573" width="33.28515625" style="360" customWidth="1"/>
    <col min="13574" max="13821" width="10.7109375" style="360"/>
    <col min="13822" max="13822" width="13.140625" style="360" customWidth="1"/>
    <col min="13823" max="13823" width="38" style="360" customWidth="1"/>
    <col min="13824" max="13824" width="8.42578125" style="360" customWidth="1"/>
    <col min="13825" max="13825" width="15.7109375" style="360" customWidth="1"/>
    <col min="13826" max="13826" width="18.28515625" style="360" customWidth="1"/>
    <col min="13827" max="13827" width="17.85546875" style="360" customWidth="1"/>
    <col min="13828" max="13828" width="0" style="360" hidden="1" customWidth="1"/>
    <col min="13829" max="13829" width="33.28515625" style="360" customWidth="1"/>
    <col min="13830" max="14077" width="10.7109375" style="360"/>
    <col min="14078" max="14078" width="13.140625" style="360" customWidth="1"/>
    <col min="14079" max="14079" width="38" style="360" customWidth="1"/>
    <col min="14080" max="14080" width="8.42578125" style="360" customWidth="1"/>
    <col min="14081" max="14081" width="15.7109375" style="360" customWidth="1"/>
    <col min="14082" max="14082" width="18.28515625" style="360" customWidth="1"/>
    <col min="14083" max="14083" width="17.85546875" style="360" customWidth="1"/>
    <col min="14084" max="14084" width="0" style="360" hidden="1" customWidth="1"/>
    <col min="14085" max="14085" width="33.28515625" style="360" customWidth="1"/>
    <col min="14086" max="14333" width="10.7109375" style="360"/>
    <col min="14334" max="14334" width="13.140625" style="360" customWidth="1"/>
    <col min="14335" max="14335" width="38" style="360" customWidth="1"/>
    <col min="14336" max="14336" width="8.42578125" style="360" customWidth="1"/>
    <col min="14337" max="14337" width="15.7109375" style="360" customWidth="1"/>
    <col min="14338" max="14338" width="18.28515625" style="360" customWidth="1"/>
    <col min="14339" max="14339" width="17.85546875" style="360" customWidth="1"/>
    <col min="14340" max="14340" width="0" style="360" hidden="1" customWidth="1"/>
    <col min="14341" max="14341" width="33.28515625" style="360" customWidth="1"/>
    <col min="14342" max="14589" width="10.7109375" style="360"/>
    <col min="14590" max="14590" width="13.140625" style="360" customWidth="1"/>
    <col min="14591" max="14591" width="38" style="360" customWidth="1"/>
    <col min="14592" max="14592" width="8.42578125" style="360" customWidth="1"/>
    <col min="14593" max="14593" width="15.7109375" style="360" customWidth="1"/>
    <col min="14594" max="14594" width="18.28515625" style="360" customWidth="1"/>
    <col min="14595" max="14595" width="17.85546875" style="360" customWidth="1"/>
    <col min="14596" max="14596" width="0" style="360" hidden="1" customWidth="1"/>
    <col min="14597" max="14597" width="33.28515625" style="360" customWidth="1"/>
    <col min="14598" max="14845" width="10.7109375" style="360"/>
    <col min="14846" max="14846" width="13.140625" style="360" customWidth="1"/>
    <col min="14847" max="14847" width="38" style="360" customWidth="1"/>
    <col min="14848" max="14848" width="8.42578125" style="360" customWidth="1"/>
    <col min="14849" max="14849" width="15.7109375" style="360" customWidth="1"/>
    <col min="14850" max="14850" width="18.28515625" style="360" customWidth="1"/>
    <col min="14851" max="14851" width="17.85546875" style="360" customWidth="1"/>
    <col min="14852" max="14852" width="0" style="360" hidden="1" customWidth="1"/>
    <col min="14853" max="14853" width="33.28515625" style="360" customWidth="1"/>
    <col min="14854" max="15101" width="10.7109375" style="360"/>
    <col min="15102" max="15102" width="13.140625" style="360" customWidth="1"/>
    <col min="15103" max="15103" width="38" style="360" customWidth="1"/>
    <col min="15104" max="15104" width="8.42578125" style="360" customWidth="1"/>
    <col min="15105" max="15105" width="15.7109375" style="360" customWidth="1"/>
    <col min="15106" max="15106" width="18.28515625" style="360" customWidth="1"/>
    <col min="15107" max="15107" width="17.85546875" style="360" customWidth="1"/>
    <col min="15108" max="15108" width="0" style="360" hidden="1" customWidth="1"/>
    <col min="15109" max="15109" width="33.28515625" style="360" customWidth="1"/>
    <col min="15110" max="15357" width="10.7109375" style="360"/>
    <col min="15358" max="15358" width="13.140625" style="360" customWidth="1"/>
    <col min="15359" max="15359" width="38" style="360" customWidth="1"/>
    <col min="15360" max="15360" width="8.42578125" style="360" customWidth="1"/>
    <col min="15361" max="15361" width="15.7109375" style="360" customWidth="1"/>
    <col min="15362" max="15362" width="18.28515625" style="360" customWidth="1"/>
    <col min="15363" max="15363" width="17.85546875" style="360" customWidth="1"/>
    <col min="15364" max="15364" width="0" style="360" hidden="1" customWidth="1"/>
    <col min="15365" max="15365" width="33.28515625" style="360" customWidth="1"/>
    <col min="15366" max="15613" width="10.7109375" style="360"/>
    <col min="15614" max="15614" width="13.140625" style="360" customWidth="1"/>
    <col min="15615" max="15615" width="38" style="360" customWidth="1"/>
    <col min="15616" max="15616" width="8.42578125" style="360" customWidth="1"/>
    <col min="15617" max="15617" width="15.7109375" style="360" customWidth="1"/>
    <col min="15618" max="15618" width="18.28515625" style="360" customWidth="1"/>
    <col min="15619" max="15619" width="17.85546875" style="360" customWidth="1"/>
    <col min="15620" max="15620" width="0" style="360" hidden="1" customWidth="1"/>
    <col min="15621" max="15621" width="33.28515625" style="360" customWidth="1"/>
    <col min="15622" max="15869" width="10.7109375" style="360"/>
    <col min="15870" max="15870" width="13.140625" style="360" customWidth="1"/>
    <col min="15871" max="15871" width="38" style="360" customWidth="1"/>
    <col min="15872" max="15872" width="8.42578125" style="360" customWidth="1"/>
    <col min="15873" max="15873" width="15.7109375" style="360" customWidth="1"/>
    <col min="15874" max="15874" width="18.28515625" style="360" customWidth="1"/>
    <col min="15875" max="15875" width="17.85546875" style="360" customWidth="1"/>
    <col min="15876" max="15876" width="0" style="360" hidden="1" customWidth="1"/>
    <col min="15877" max="15877" width="33.28515625" style="360" customWidth="1"/>
    <col min="15878" max="16125" width="10.7109375" style="360"/>
    <col min="16126" max="16126" width="13.140625" style="360" customWidth="1"/>
    <col min="16127" max="16127" width="38" style="360" customWidth="1"/>
    <col min="16128" max="16128" width="8.42578125" style="360" customWidth="1"/>
    <col min="16129" max="16129" width="15.7109375" style="360" customWidth="1"/>
    <col min="16130" max="16130" width="18.28515625" style="360" customWidth="1"/>
    <col min="16131" max="16131" width="17.85546875" style="360" customWidth="1"/>
    <col min="16132" max="16132" width="0" style="360" hidden="1" customWidth="1"/>
    <col min="16133" max="16133" width="33.28515625" style="360" customWidth="1"/>
    <col min="16134" max="16384" width="10.7109375" style="360"/>
  </cols>
  <sheetData>
    <row r="1" spans="1:9" ht="14.25" x14ac:dyDescent="0.25">
      <c r="A1" s="547" t="s">
        <v>1787</v>
      </c>
      <c r="B1" s="361"/>
      <c r="C1" s="357"/>
      <c r="D1" s="779"/>
      <c r="E1" s="358"/>
      <c r="F1" s="358"/>
      <c r="G1" s="359"/>
      <c r="H1" s="362"/>
    </row>
    <row r="2" spans="1:9" ht="13.15" x14ac:dyDescent="0.3">
      <c r="A2" s="361"/>
      <c r="B2" s="361"/>
      <c r="C2" s="357"/>
      <c r="D2" s="779"/>
      <c r="E2" s="358"/>
      <c r="F2" s="358"/>
      <c r="G2" s="359"/>
      <c r="H2" s="362"/>
    </row>
    <row r="3" spans="1:9" ht="13.15" x14ac:dyDescent="0.3">
      <c r="A3" s="359"/>
      <c r="B3" s="359"/>
      <c r="C3" s="357"/>
      <c r="D3" s="779"/>
      <c r="E3" s="358"/>
      <c r="F3" s="358"/>
      <c r="G3" s="359"/>
      <c r="H3" s="362"/>
    </row>
    <row r="4" spans="1:9" ht="13.15" x14ac:dyDescent="0.3">
      <c r="A4" s="1445" t="s">
        <v>1217</v>
      </c>
      <c r="B4" s="1445"/>
      <c r="C4" s="1445"/>
      <c r="D4" s="1445"/>
      <c r="E4" s="1445"/>
      <c r="F4" s="1445"/>
      <c r="G4" s="1445"/>
      <c r="H4" s="1445"/>
    </row>
    <row r="5" spans="1:9" ht="13.15" x14ac:dyDescent="0.3">
      <c r="A5" s="1445" t="s">
        <v>1455</v>
      </c>
      <c r="B5" s="1445"/>
      <c r="C5" s="1445"/>
      <c r="D5" s="1445"/>
      <c r="E5" s="1445"/>
      <c r="F5" s="1445"/>
      <c r="G5" s="1445"/>
      <c r="H5" s="1445"/>
    </row>
    <row r="6" spans="1:9" ht="13.15" x14ac:dyDescent="0.3">
      <c r="A6" s="1445" t="str">
        <f>DG!C62</f>
        <v>OBIECT 3 - Amenajări exterioare</v>
      </c>
      <c r="B6" s="1445"/>
      <c r="C6" s="1445"/>
      <c r="D6" s="1445"/>
      <c r="E6" s="1445"/>
      <c r="F6" s="1445"/>
      <c r="G6" s="1445"/>
      <c r="H6" s="1445"/>
    </row>
    <row r="7" spans="1:9" ht="13.15" x14ac:dyDescent="0.3">
      <c r="A7" s="762"/>
      <c r="B7" s="361"/>
      <c r="C7" s="762"/>
      <c r="D7" s="780"/>
      <c r="E7" s="560"/>
      <c r="F7" s="560"/>
      <c r="G7" s="762"/>
      <c r="H7" s="356"/>
    </row>
    <row r="8" spans="1:9" ht="13.15" x14ac:dyDescent="0.3">
      <c r="A8" s="359"/>
      <c r="B8" s="359"/>
      <c r="C8" s="357"/>
      <c r="D8" s="788">
        <v>1</v>
      </c>
      <c r="E8" s="358"/>
      <c r="F8" s="358"/>
      <c r="G8" s="359"/>
      <c r="H8" s="362"/>
    </row>
    <row r="9" spans="1:9" ht="38.25" x14ac:dyDescent="0.25">
      <c r="A9" s="1446" t="s">
        <v>1179</v>
      </c>
      <c r="B9" s="1446" t="s">
        <v>1180</v>
      </c>
      <c r="C9" s="1446" t="s">
        <v>1181</v>
      </c>
      <c r="D9" s="1447" t="s">
        <v>1456</v>
      </c>
      <c r="E9" s="1448" t="s">
        <v>1456</v>
      </c>
      <c r="F9" s="824" t="s">
        <v>1183</v>
      </c>
      <c r="G9" s="1446" t="s">
        <v>1184</v>
      </c>
      <c r="H9" s="1446" t="s">
        <v>1185</v>
      </c>
    </row>
    <row r="10" spans="1:9" ht="25.5" x14ac:dyDescent="0.25">
      <c r="A10" s="1446"/>
      <c r="B10" s="1446"/>
      <c r="C10" s="1446"/>
      <c r="D10" s="1447"/>
      <c r="E10" s="1448"/>
      <c r="F10" s="824" t="s">
        <v>1186</v>
      </c>
      <c r="G10" s="1446"/>
      <c r="H10" s="1446"/>
    </row>
    <row r="11" spans="1:9" ht="13.15" x14ac:dyDescent="0.3">
      <c r="A11" s="822">
        <v>1</v>
      </c>
      <c r="B11" s="822">
        <v>2</v>
      </c>
      <c r="C11" s="822">
        <v>3</v>
      </c>
      <c r="D11" s="778">
        <v>4</v>
      </c>
      <c r="E11" s="562">
        <v>4</v>
      </c>
      <c r="F11" s="562">
        <v>5</v>
      </c>
      <c r="G11" s="822">
        <v>7</v>
      </c>
      <c r="H11" s="822">
        <v>6</v>
      </c>
    </row>
    <row r="12" spans="1:9" ht="39.6" x14ac:dyDescent="0.3">
      <c r="A12" s="563" t="s">
        <v>1457</v>
      </c>
      <c r="B12" s="564" t="s">
        <v>1796</v>
      </c>
      <c r="C12" s="565"/>
      <c r="D12" s="852"/>
      <c r="E12" s="565"/>
      <c r="F12" s="565"/>
      <c r="G12" s="565"/>
      <c r="H12" s="566"/>
    </row>
    <row r="13" spans="1:9" ht="13.15" x14ac:dyDescent="0.3">
      <c r="A13" s="364" t="s">
        <v>1458</v>
      </c>
      <c r="B13" s="367"/>
      <c r="C13" s="400"/>
      <c r="D13" s="401">
        <v>950.92</v>
      </c>
      <c r="E13" s="532"/>
      <c r="F13" s="532">
        <f>C13*E13</f>
        <v>0</v>
      </c>
      <c r="G13" s="364"/>
      <c r="H13" s="421"/>
    </row>
    <row r="14" spans="1:9" ht="14.45" x14ac:dyDescent="0.3">
      <c r="A14" s="364" t="s">
        <v>1459</v>
      </c>
      <c r="B14" s="367"/>
      <c r="C14" s="400"/>
      <c r="D14" s="401">
        <v>4000</v>
      </c>
      <c r="E14" s="532"/>
      <c r="F14" s="532">
        <f t="shared" ref="F14:F22" si="0">C14*E14</f>
        <v>0</v>
      </c>
      <c r="G14" s="530"/>
      <c r="H14" s="421"/>
      <c r="I14" s="426"/>
    </row>
    <row r="15" spans="1:9" ht="14.45" x14ac:dyDescent="0.3">
      <c r="A15" s="364" t="s">
        <v>1460</v>
      </c>
      <c r="B15" s="367"/>
      <c r="C15" s="400"/>
      <c r="D15" s="401">
        <v>21195</v>
      </c>
      <c r="E15" s="532"/>
      <c r="F15" s="532">
        <f t="shared" si="0"/>
        <v>0</v>
      </c>
      <c r="G15" s="530"/>
      <c r="H15" s="421"/>
      <c r="I15" s="426"/>
    </row>
    <row r="16" spans="1:9" ht="14.45" x14ac:dyDescent="0.3">
      <c r="A16" s="364" t="s">
        <v>1461</v>
      </c>
      <c r="B16" s="367"/>
      <c r="C16" s="400"/>
      <c r="D16" s="401">
        <v>1988.56</v>
      </c>
      <c r="E16" s="532"/>
      <c r="F16" s="532">
        <f t="shared" si="0"/>
        <v>0</v>
      </c>
      <c r="G16" s="530"/>
      <c r="H16" s="421"/>
      <c r="I16" s="426"/>
    </row>
    <row r="17" spans="1:11" ht="14.45" x14ac:dyDescent="0.3">
      <c r="A17" s="563" t="s">
        <v>1481</v>
      </c>
      <c r="B17" s="564"/>
      <c r="C17" s="565"/>
      <c r="D17" s="852"/>
      <c r="E17" s="565"/>
      <c r="F17" s="565"/>
      <c r="G17" s="565"/>
      <c r="H17" s="566"/>
      <c r="I17" s="426"/>
    </row>
    <row r="18" spans="1:11" ht="14.45" x14ac:dyDescent="0.3">
      <c r="A18" s="366" t="s">
        <v>1482</v>
      </c>
      <c r="B18" s="367"/>
      <c r="C18" s="400"/>
      <c r="D18" s="401">
        <v>1539.79</v>
      </c>
      <c r="E18" s="532"/>
      <c r="F18" s="532">
        <f t="shared" si="0"/>
        <v>0</v>
      </c>
      <c r="G18" s="530"/>
      <c r="H18" s="421"/>
      <c r="I18" s="426"/>
    </row>
    <row r="19" spans="1:11" ht="14.45" x14ac:dyDescent="0.3">
      <c r="A19" s="366" t="s">
        <v>1483</v>
      </c>
      <c r="B19" s="367"/>
      <c r="C19" s="400"/>
      <c r="D19" s="401">
        <v>40000</v>
      </c>
      <c r="E19" s="532"/>
      <c r="F19" s="532">
        <f t="shared" si="0"/>
        <v>0</v>
      </c>
      <c r="G19" s="530"/>
      <c r="H19" s="421"/>
      <c r="I19" s="426"/>
    </row>
    <row r="20" spans="1:11" ht="14.45" x14ac:dyDescent="0.3">
      <c r="A20" s="366" t="s">
        <v>1484</v>
      </c>
      <c r="B20" s="367"/>
      <c r="C20" s="400"/>
      <c r="D20" s="401">
        <v>1973.18</v>
      </c>
      <c r="E20" s="532"/>
      <c r="F20" s="532">
        <f t="shared" si="0"/>
        <v>0</v>
      </c>
      <c r="G20" s="530"/>
      <c r="H20" s="421"/>
      <c r="I20" s="426"/>
    </row>
    <row r="21" spans="1:11" ht="13.15" x14ac:dyDescent="0.3">
      <c r="A21" s="366" t="s">
        <v>1485</v>
      </c>
      <c r="B21" s="367"/>
      <c r="C21" s="400"/>
      <c r="D21" s="401">
        <v>2964</v>
      </c>
      <c r="E21" s="532"/>
      <c r="F21" s="532">
        <f t="shared" si="0"/>
        <v>0</v>
      </c>
      <c r="G21" s="530"/>
      <c r="H21" s="421"/>
    </row>
    <row r="22" spans="1:11" ht="13.15" x14ac:dyDescent="0.3">
      <c r="A22" s="366" t="s">
        <v>1486</v>
      </c>
      <c r="B22" s="367"/>
      <c r="C22" s="400"/>
      <c r="D22" s="401">
        <v>1973.65</v>
      </c>
      <c r="E22" s="532"/>
      <c r="F22" s="532">
        <f t="shared" si="0"/>
        <v>0</v>
      </c>
      <c r="G22" s="530"/>
      <c r="H22" s="421"/>
    </row>
    <row r="23" spans="1:11" ht="13.15" hidden="1" x14ac:dyDescent="0.3">
      <c r="A23" s="364" t="s">
        <v>1478</v>
      </c>
      <c r="B23" s="530"/>
      <c r="C23" s="531"/>
      <c r="D23" s="783"/>
      <c r="E23" s="532"/>
      <c r="F23" s="532">
        <f t="shared" ref="F23" si="1">E23*C23</f>
        <v>0</v>
      </c>
      <c r="G23" s="530"/>
      <c r="H23" s="533"/>
    </row>
    <row r="24" spans="1:11" ht="13.15" hidden="1" x14ac:dyDescent="0.3">
      <c r="A24" s="563" t="s">
        <v>1481</v>
      </c>
      <c r="B24" s="564"/>
      <c r="C24" s="574"/>
      <c r="D24" s="772"/>
      <c r="E24" s="575"/>
      <c r="F24" s="575"/>
      <c r="G24" s="576"/>
      <c r="H24" s="577"/>
      <c r="I24" s="530"/>
    </row>
    <row r="25" spans="1:11" ht="14.45" hidden="1" x14ac:dyDescent="0.3">
      <c r="A25" s="366" t="s">
        <v>1482</v>
      </c>
      <c r="B25" s="549"/>
      <c r="C25" s="550"/>
      <c r="D25" s="769"/>
      <c r="E25" s="395"/>
      <c r="F25" s="369">
        <f>C25*D25</f>
        <v>0</v>
      </c>
      <c r="G25" s="551"/>
      <c r="H25" s="552"/>
      <c r="I25" s="553"/>
      <c r="K25" s="559"/>
    </row>
    <row r="26" spans="1:11" ht="14.45" hidden="1" x14ac:dyDescent="0.3">
      <c r="A26" s="366" t="s">
        <v>1483</v>
      </c>
      <c r="B26" s="549"/>
      <c r="C26" s="550"/>
      <c r="D26" s="769"/>
      <c r="E26" s="395"/>
      <c r="F26" s="369">
        <f>C26*D26</f>
        <v>0</v>
      </c>
      <c r="G26" s="551"/>
      <c r="H26" s="552"/>
      <c r="I26" s="553"/>
      <c r="K26" s="559"/>
    </row>
    <row r="27" spans="1:11" ht="13.15" x14ac:dyDescent="0.3">
      <c r="A27" s="1444" t="s">
        <v>545</v>
      </c>
      <c r="B27" s="1444"/>
      <c r="C27" s="1444"/>
      <c r="D27" s="1444"/>
      <c r="E27" s="823"/>
      <c r="F27" s="370">
        <f>SUM(F13:F26)</f>
        <v>0</v>
      </c>
      <c r="G27" s="1444" t="s">
        <v>1188</v>
      </c>
      <c r="H27" s="1444"/>
    </row>
    <row r="28" spans="1:11" ht="13.15" x14ac:dyDescent="0.3">
      <c r="A28" s="359"/>
      <c r="B28" s="359"/>
      <c r="C28" s="372"/>
      <c r="D28" s="779"/>
      <c r="E28" s="358"/>
      <c r="F28" s="358"/>
      <c r="G28" s="359"/>
      <c r="H28" s="362"/>
    </row>
    <row r="29" spans="1:11" ht="13.9" x14ac:dyDescent="0.25">
      <c r="A29" s="359"/>
      <c r="B29" s="359"/>
      <c r="C29" s="357"/>
      <c r="D29" s="779"/>
      <c r="E29" s="358"/>
      <c r="F29" s="358"/>
      <c r="G29" s="359"/>
      <c r="H29" s="44" t="s">
        <v>82</v>
      </c>
    </row>
    <row r="30" spans="1:11" ht="13.9" x14ac:dyDescent="0.25">
      <c r="A30" s="359"/>
      <c r="B30" s="359"/>
      <c r="C30" s="357"/>
      <c r="D30" s="779"/>
      <c r="E30" s="358"/>
      <c r="F30" s="358"/>
      <c r="G30" s="359"/>
      <c r="H30" s="45"/>
    </row>
    <row r="31" spans="1:11" ht="13.9" x14ac:dyDescent="0.25">
      <c r="A31" s="359"/>
      <c r="B31" s="359"/>
      <c r="C31" s="357"/>
      <c r="D31" s="779"/>
      <c r="E31" s="358"/>
      <c r="F31" s="358"/>
      <c r="G31" s="359"/>
      <c r="H31" s="44" t="s">
        <v>1516</v>
      </c>
    </row>
    <row r="32" spans="1:11" ht="13.9" x14ac:dyDescent="0.25">
      <c r="A32" s="359"/>
      <c r="B32" s="359"/>
      <c r="C32" s="357"/>
      <c r="D32" s="779"/>
      <c r="E32" s="358"/>
      <c r="F32" s="358"/>
      <c r="G32" s="359"/>
      <c r="H32" s="45" t="s">
        <v>83</v>
      </c>
    </row>
    <row r="33" spans="1:13" ht="13.9" x14ac:dyDescent="0.25">
      <c r="A33" s="359"/>
      <c r="B33" s="359"/>
      <c r="C33" s="357"/>
      <c r="D33" s="779"/>
      <c r="E33" s="358"/>
      <c r="F33" s="358"/>
      <c r="G33" s="359"/>
      <c r="H33" s="45" t="s">
        <v>1517</v>
      </c>
    </row>
    <row r="34" spans="1:13" ht="13.15" x14ac:dyDescent="0.3">
      <c r="A34" s="359"/>
      <c r="B34" s="359"/>
      <c r="C34" s="357"/>
      <c r="D34" s="779"/>
      <c r="E34" s="358"/>
      <c r="F34" s="358"/>
      <c r="G34" s="359"/>
      <c r="H34" s="362"/>
    </row>
    <row r="36" spans="1:13" ht="13.15" x14ac:dyDescent="0.3">
      <c r="A36" s="378"/>
    </row>
    <row r="37" spans="1:13" x14ac:dyDescent="0.25">
      <c r="A37" s="378"/>
      <c r="H37" s="389"/>
    </row>
    <row r="38" spans="1:13" x14ac:dyDescent="0.25">
      <c r="A38" s="378"/>
    </row>
    <row r="39" spans="1:13" x14ac:dyDescent="0.25">
      <c r="A39" s="378"/>
      <c r="H39" s="389"/>
    </row>
    <row r="40" spans="1:13" x14ac:dyDescent="0.25">
      <c r="A40" s="378"/>
    </row>
    <row r="41" spans="1:13" x14ac:dyDescent="0.25">
      <c r="A41" s="378"/>
      <c r="H41" s="389"/>
    </row>
    <row r="42" spans="1:13" x14ac:dyDescent="0.25">
      <c r="A42" s="378"/>
    </row>
    <row r="43" spans="1:13" x14ac:dyDescent="0.25">
      <c r="A43" s="378"/>
    </row>
    <row r="44" spans="1:13" x14ac:dyDescent="0.25">
      <c r="A44" s="378"/>
      <c r="H44" s="389"/>
    </row>
    <row r="45" spans="1:13" x14ac:dyDescent="0.25">
      <c r="A45" s="378"/>
      <c r="I45" s="374"/>
      <c r="J45" s="374"/>
      <c r="K45" s="374"/>
      <c r="L45" s="374"/>
      <c r="M45" s="374"/>
    </row>
    <row r="46" spans="1:13" x14ac:dyDescent="0.25">
      <c r="A46" s="378"/>
      <c r="H46" s="389"/>
      <c r="I46" s="374"/>
      <c r="J46" s="374"/>
      <c r="K46" s="374"/>
      <c r="L46" s="374"/>
      <c r="M46" s="374"/>
    </row>
    <row r="47" spans="1:13" x14ac:dyDescent="0.25">
      <c r="A47" s="378"/>
      <c r="I47" s="374"/>
      <c r="J47" s="374"/>
      <c r="K47" s="374"/>
      <c r="L47" s="374"/>
      <c r="M47" s="374"/>
    </row>
    <row r="48" spans="1:13" x14ac:dyDescent="0.25">
      <c r="A48" s="378"/>
      <c r="I48" s="374"/>
      <c r="J48" s="374"/>
      <c r="K48" s="374"/>
      <c r="L48" s="374"/>
      <c r="M48" s="374"/>
    </row>
    <row r="49" spans="1:13" x14ac:dyDescent="0.25">
      <c r="A49" s="378"/>
      <c r="H49" s="389"/>
      <c r="I49" s="374"/>
      <c r="J49" s="374"/>
      <c r="K49" s="374"/>
      <c r="L49" s="374"/>
      <c r="M49" s="374"/>
    </row>
    <row r="50" spans="1:13" x14ac:dyDescent="0.25">
      <c r="A50" s="378"/>
      <c r="B50" s="363"/>
      <c r="H50" s="389"/>
      <c r="I50" s="374"/>
      <c r="J50" s="374"/>
      <c r="K50" s="374"/>
      <c r="L50" s="374"/>
      <c r="M50" s="374"/>
    </row>
    <row r="51" spans="1:13" x14ac:dyDescent="0.25">
      <c r="A51" s="378"/>
      <c r="H51" s="389"/>
      <c r="I51" s="374"/>
      <c r="J51" s="374"/>
      <c r="K51" s="374"/>
      <c r="L51" s="374"/>
      <c r="M51" s="374"/>
    </row>
    <row r="52" spans="1:13" x14ac:dyDescent="0.25">
      <c r="A52" s="378"/>
      <c r="H52" s="389"/>
      <c r="I52" s="374"/>
      <c r="J52" s="374"/>
      <c r="K52" s="374"/>
      <c r="L52" s="374"/>
      <c r="M52" s="374"/>
    </row>
    <row r="53" spans="1:13" x14ac:dyDescent="0.25">
      <c r="A53" s="378"/>
      <c r="H53" s="389"/>
      <c r="I53" s="374"/>
      <c r="J53" s="374"/>
      <c r="K53" s="374"/>
      <c r="L53" s="374"/>
      <c r="M53" s="374"/>
    </row>
    <row r="54" spans="1:13" x14ac:dyDescent="0.25">
      <c r="A54" s="378"/>
      <c r="H54" s="389"/>
      <c r="I54" s="374"/>
      <c r="J54" s="374"/>
      <c r="K54" s="374"/>
      <c r="L54" s="374"/>
      <c r="M54" s="374"/>
    </row>
    <row r="55" spans="1:13" x14ac:dyDescent="0.25">
      <c r="A55" s="378"/>
      <c r="H55" s="389"/>
      <c r="I55" s="374"/>
      <c r="J55" s="374"/>
      <c r="K55" s="374"/>
      <c r="L55" s="374"/>
      <c r="M55" s="374"/>
    </row>
    <row r="56" spans="1:13" x14ac:dyDescent="0.25">
      <c r="A56" s="378"/>
      <c r="H56" s="389"/>
      <c r="I56" s="374"/>
      <c r="J56" s="374"/>
      <c r="K56" s="374"/>
      <c r="L56" s="374"/>
      <c r="M56" s="374"/>
    </row>
    <row r="57" spans="1:13" x14ac:dyDescent="0.25">
      <c r="A57" s="376"/>
      <c r="D57" s="786"/>
      <c r="E57" s="380"/>
      <c r="F57" s="380"/>
      <c r="G57" s="374"/>
      <c r="I57" s="374"/>
      <c r="J57" s="374"/>
      <c r="K57" s="374"/>
      <c r="L57" s="374"/>
      <c r="M57" s="374"/>
    </row>
    <row r="58" spans="1:13" x14ac:dyDescent="0.25">
      <c r="A58" s="376"/>
      <c r="D58" s="786"/>
      <c r="E58" s="380"/>
      <c r="F58" s="380"/>
      <c r="G58" s="374"/>
      <c r="I58" s="374"/>
      <c r="J58" s="374"/>
      <c r="K58" s="374"/>
      <c r="L58" s="374"/>
      <c r="M58" s="374"/>
    </row>
    <row r="59" spans="1:13" x14ac:dyDescent="0.25">
      <c r="D59" s="786"/>
      <c r="E59" s="380"/>
      <c r="F59" s="380"/>
      <c r="G59" s="374"/>
      <c r="I59" s="374"/>
      <c r="J59" s="374"/>
      <c r="K59" s="374"/>
      <c r="L59" s="374"/>
      <c r="M59" s="374"/>
    </row>
    <row r="60" spans="1:13" x14ac:dyDescent="0.25">
      <c r="D60" s="786"/>
      <c r="E60" s="380"/>
      <c r="F60" s="380"/>
      <c r="G60" s="374"/>
      <c r="I60" s="374"/>
      <c r="J60" s="374"/>
      <c r="K60" s="374"/>
      <c r="L60" s="374"/>
      <c r="M60" s="374"/>
    </row>
    <row r="61" spans="1:13" x14ac:dyDescent="0.25">
      <c r="A61" s="376"/>
      <c r="D61" s="786"/>
      <c r="E61" s="380"/>
      <c r="F61" s="380"/>
      <c r="G61" s="374"/>
      <c r="I61" s="374"/>
      <c r="J61" s="374"/>
      <c r="K61" s="374"/>
      <c r="L61" s="374"/>
      <c r="M61" s="374"/>
    </row>
    <row r="62" spans="1:13" x14ac:dyDescent="0.25">
      <c r="A62" s="376"/>
      <c r="D62" s="786"/>
      <c r="E62" s="380"/>
      <c r="F62" s="380"/>
      <c r="G62" s="374"/>
      <c r="I62" s="374"/>
      <c r="J62" s="374"/>
      <c r="K62" s="374"/>
      <c r="L62" s="374"/>
      <c r="M62" s="374"/>
    </row>
    <row r="63" spans="1:13" x14ac:dyDescent="0.25">
      <c r="A63" s="376"/>
      <c r="D63" s="786"/>
      <c r="E63" s="380"/>
      <c r="F63" s="380"/>
      <c r="G63" s="374"/>
      <c r="I63" s="374"/>
      <c r="J63" s="374"/>
      <c r="K63" s="374"/>
      <c r="L63" s="374"/>
      <c r="M63" s="374"/>
    </row>
    <row r="64" spans="1:13" x14ac:dyDescent="0.25">
      <c r="A64" s="376"/>
      <c r="D64" s="786"/>
      <c r="E64" s="380"/>
      <c r="F64" s="380"/>
      <c r="G64" s="374"/>
      <c r="I64" s="374"/>
      <c r="J64" s="374"/>
      <c r="K64" s="374"/>
      <c r="L64" s="374"/>
      <c r="M64" s="374"/>
    </row>
    <row r="65" spans="1:13" x14ac:dyDescent="0.25">
      <c r="A65" s="376"/>
      <c r="D65" s="786"/>
      <c r="E65" s="380"/>
      <c r="F65" s="380"/>
      <c r="G65" s="374"/>
      <c r="I65" s="374"/>
      <c r="J65" s="374"/>
      <c r="K65" s="374"/>
      <c r="L65" s="374"/>
      <c r="M65" s="374"/>
    </row>
    <row r="66" spans="1:13" x14ac:dyDescent="0.25">
      <c r="A66" s="376"/>
      <c r="D66" s="786"/>
      <c r="E66" s="380"/>
      <c r="F66" s="380"/>
      <c r="G66" s="374"/>
      <c r="I66" s="374"/>
      <c r="J66" s="374"/>
      <c r="K66" s="374"/>
      <c r="L66" s="374"/>
      <c r="M66" s="374"/>
    </row>
    <row r="67" spans="1:13" x14ac:dyDescent="0.25">
      <c r="A67" s="376"/>
      <c r="D67" s="786"/>
      <c r="E67" s="380"/>
      <c r="F67" s="380"/>
      <c r="G67" s="374"/>
      <c r="I67" s="374"/>
      <c r="J67" s="374"/>
      <c r="K67" s="374"/>
      <c r="L67" s="374"/>
      <c r="M67" s="374"/>
    </row>
    <row r="68" spans="1:13" x14ac:dyDescent="0.25">
      <c r="A68" s="376"/>
      <c r="D68" s="786"/>
      <c r="E68" s="380"/>
      <c r="F68" s="380"/>
      <c r="G68" s="374"/>
      <c r="I68" s="374"/>
      <c r="J68" s="374"/>
      <c r="K68" s="374"/>
      <c r="L68" s="374"/>
      <c r="M68" s="374"/>
    </row>
    <row r="69" spans="1:13" x14ac:dyDescent="0.25">
      <c r="A69" s="376"/>
      <c r="D69" s="786"/>
      <c r="E69" s="380"/>
      <c r="F69" s="380"/>
      <c r="G69" s="374"/>
      <c r="I69" s="374"/>
      <c r="J69" s="374"/>
      <c r="K69" s="374"/>
      <c r="L69" s="374"/>
      <c r="M69" s="374"/>
    </row>
    <row r="70" spans="1:13" x14ac:dyDescent="0.25">
      <c r="A70" s="376"/>
      <c r="D70" s="786"/>
      <c r="E70" s="380"/>
      <c r="F70" s="380"/>
      <c r="G70" s="374"/>
      <c r="I70" s="374"/>
      <c r="J70" s="374"/>
      <c r="K70" s="374"/>
      <c r="L70" s="374"/>
      <c r="M70" s="374"/>
    </row>
    <row r="71" spans="1:13" x14ac:dyDescent="0.25">
      <c r="A71" s="376"/>
      <c r="D71" s="786"/>
      <c r="E71" s="380"/>
      <c r="F71" s="380"/>
      <c r="G71" s="374"/>
      <c r="I71" s="374"/>
      <c r="J71" s="374"/>
      <c r="K71" s="374"/>
      <c r="L71" s="374"/>
      <c r="M71" s="374"/>
    </row>
    <row r="72" spans="1:13" x14ac:dyDescent="0.25">
      <c r="A72" s="376"/>
      <c r="D72" s="786"/>
      <c r="E72" s="380"/>
      <c r="F72" s="380"/>
      <c r="G72" s="374"/>
      <c r="I72" s="374"/>
      <c r="J72" s="374"/>
      <c r="K72" s="374"/>
      <c r="L72" s="374"/>
      <c r="M72" s="374"/>
    </row>
    <row r="73" spans="1:13" x14ac:dyDescent="0.25">
      <c r="A73" s="376"/>
      <c r="D73" s="786"/>
      <c r="E73" s="380"/>
      <c r="F73" s="380"/>
      <c r="G73" s="374"/>
      <c r="I73" s="374"/>
      <c r="J73" s="374"/>
      <c r="K73" s="374"/>
      <c r="L73" s="374"/>
      <c r="M73" s="374"/>
    </row>
    <row r="74" spans="1:13" x14ac:dyDescent="0.25">
      <c r="A74" s="376"/>
      <c r="D74" s="786"/>
      <c r="E74" s="380"/>
      <c r="F74" s="380"/>
      <c r="G74" s="374"/>
      <c r="I74" s="374"/>
      <c r="J74" s="374"/>
      <c r="K74" s="374"/>
      <c r="L74" s="374"/>
      <c r="M74" s="374"/>
    </row>
    <row r="75" spans="1:13" x14ac:dyDescent="0.25">
      <c r="A75" s="376"/>
      <c r="D75" s="786"/>
      <c r="E75" s="380"/>
      <c r="F75" s="380"/>
      <c r="G75" s="374"/>
      <c r="I75" s="374"/>
      <c r="J75" s="374"/>
      <c r="K75" s="374"/>
      <c r="L75" s="374"/>
      <c r="M75" s="374"/>
    </row>
    <row r="76" spans="1:13" x14ac:dyDescent="0.25">
      <c r="A76" s="376"/>
      <c r="D76" s="786"/>
      <c r="E76" s="380"/>
      <c r="F76" s="380"/>
      <c r="G76" s="374"/>
      <c r="I76" s="374"/>
      <c r="J76" s="374"/>
      <c r="K76" s="374"/>
      <c r="L76" s="374"/>
      <c r="M76" s="374"/>
    </row>
    <row r="77" spans="1:13" x14ac:dyDescent="0.25">
      <c r="D77" s="786"/>
      <c r="E77" s="380"/>
      <c r="F77" s="380"/>
      <c r="G77" s="374"/>
      <c r="I77" s="374"/>
      <c r="J77" s="374"/>
      <c r="K77" s="374"/>
      <c r="L77" s="374"/>
      <c r="M77" s="374"/>
    </row>
    <row r="78" spans="1:13" x14ac:dyDescent="0.25">
      <c r="D78" s="786"/>
      <c r="E78" s="380"/>
      <c r="F78" s="380"/>
      <c r="G78" s="374"/>
      <c r="I78" s="374"/>
      <c r="J78" s="374"/>
      <c r="K78" s="374"/>
      <c r="L78" s="374"/>
      <c r="M78" s="374"/>
    </row>
    <row r="79" spans="1:13" x14ac:dyDescent="0.25">
      <c r="D79" s="786"/>
      <c r="E79" s="380"/>
      <c r="F79" s="380"/>
      <c r="G79" s="374"/>
      <c r="I79" s="374"/>
      <c r="J79" s="374"/>
      <c r="K79" s="374"/>
      <c r="L79" s="374"/>
      <c r="M79" s="374"/>
    </row>
    <row r="80" spans="1:13" x14ac:dyDescent="0.25">
      <c r="A80" s="376"/>
      <c r="D80" s="786"/>
      <c r="E80" s="380"/>
      <c r="F80" s="380"/>
      <c r="G80" s="374"/>
      <c r="I80" s="374"/>
      <c r="J80" s="374"/>
      <c r="K80" s="374"/>
      <c r="L80" s="374"/>
      <c r="M80" s="374"/>
    </row>
    <row r="81" spans="1:14" x14ac:dyDescent="0.25">
      <c r="A81" s="376"/>
      <c r="D81" s="786"/>
      <c r="E81" s="380"/>
      <c r="F81" s="380"/>
      <c r="G81" s="374"/>
      <c r="I81" s="374"/>
      <c r="J81" s="374"/>
      <c r="K81" s="374"/>
      <c r="L81" s="374"/>
      <c r="M81" s="374"/>
    </row>
    <row r="82" spans="1:14" x14ac:dyDescent="0.25">
      <c r="A82" s="376"/>
      <c r="D82" s="786"/>
      <c r="E82" s="380"/>
      <c r="F82" s="380"/>
      <c r="G82" s="374"/>
      <c r="I82" s="374"/>
      <c r="J82" s="374"/>
      <c r="K82" s="374"/>
      <c r="L82" s="374"/>
      <c r="M82" s="374"/>
    </row>
    <row r="83" spans="1:14" x14ac:dyDescent="0.25">
      <c r="A83" s="376"/>
      <c r="D83" s="786"/>
      <c r="E83" s="380"/>
      <c r="F83" s="380"/>
      <c r="G83" s="374"/>
      <c r="I83" s="374"/>
      <c r="J83" s="374"/>
      <c r="K83" s="374"/>
      <c r="L83" s="374"/>
      <c r="M83" s="374"/>
    </row>
    <row r="84" spans="1:14" x14ac:dyDescent="0.25">
      <c r="A84" s="376"/>
      <c r="D84" s="786"/>
      <c r="E84" s="380"/>
      <c r="F84" s="380"/>
      <c r="G84" s="374"/>
      <c r="I84" s="374"/>
      <c r="J84" s="374"/>
      <c r="K84" s="374"/>
      <c r="L84" s="374"/>
      <c r="M84" s="374"/>
    </row>
    <row r="85" spans="1:14" x14ac:dyDescent="0.25">
      <c r="A85" s="376"/>
      <c r="D85" s="786"/>
      <c r="E85" s="380"/>
      <c r="F85" s="380"/>
      <c r="G85" s="374"/>
      <c r="I85" s="374"/>
      <c r="J85" s="374"/>
      <c r="K85" s="374"/>
      <c r="L85" s="374"/>
      <c r="M85" s="374"/>
    </row>
    <row r="86" spans="1:14" x14ac:dyDescent="0.25">
      <c r="A86" s="376"/>
      <c r="D86" s="786"/>
      <c r="E86" s="380"/>
      <c r="F86" s="380"/>
      <c r="G86" s="374"/>
      <c r="I86" s="374"/>
      <c r="J86" s="374"/>
      <c r="K86" s="374"/>
      <c r="L86" s="374"/>
      <c r="M86" s="374"/>
    </row>
    <row r="87" spans="1:14" x14ac:dyDescent="0.25">
      <c r="A87" s="376"/>
      <c r="D87" s="786"/>
      <c r="E87" s="380"/>
      <c r="F87" s="380"/>
      <c r="G87" s="374"/>
      <c r="I87" s="374"/>
      <c r="J87" s="374"/>
      <c r="K87" s="374"/>
      <c r="L87" s="374"/>
      <c r="M87" s="374"/>
    </row>
    <row r="88" spans="1:14" x14ac:dyDescent="0.25">
      <c r="D88" s="786"/>
      <c r="E88" s="380"/>
      <c r="F88" s="380"/>
      <c r="G88" s="374"/>
      <c r="I88" s="374"/>
      <c r="J88" s="374"/>
      <c r="K88" s="374"/>
      <c r="L88" s="374"/>
      <c r="M88" s="374"/>
    </row>
    <row r="89" spans="1:14" x14ac:dyDescent="0.25">
      <c r="C89" s="381"/>
      <c r="D89" s="787"/>
      <c r="E89" s="382"/>
    </row>
    <row r="90" spans="1:14" s="375" customFormat="1" x14ac:dyDescent="0.25">
      <c r="A90" s="376"/>
      <c r="B90" s="360"/>
      <c r="C90" s="381"/>
      <c r="D90" s="787"/>
      <c r="E90" s="382"/>
      <c r="G90" s="360"/>
      <c r="H90" s="373"/>
      <c r="I90" s="360"/>
      <c r="J90" s="360"/>
      <c r="K90" s="360"/>
      <c r="L90" s="360"/>
      <c r="M90" s="360"/>
      <c r="N90" s="360"/>
    </row>
    <row r="91" spans="1:14" s="375" customFormat="1" x14ac:dyDescent="0.25">
      <c r="A91" s="376"/>
      <c r="B91" s="360"/>
      <c r="C91" s="381"/>
      <c r="D91" s="787"/>
      <c r="E91" s="382"/>
      <c r="G91" s="360"/>
      <c r="H91" s="373"/>
      <c r="I91" s="360"/>
      <c r="J91" s="360"/>
      <c r="K91" s="360"/>
      <c r="L91" s="360"/>
      <c r="M91" s="360"/>
      <c r="N91" s="360"/>
    </row>
    <row r="92" spans="1:14" s="375" customFormat="1" x14ac:dyDescent="0.25">
      <c r="A92" s="376"/>
      <c r="B92" s="360"/>
      <c r="C92" s="381"/>
      <c r="D92" s="787"/>
      <c r="E92" s="382"/>
      <c r="G92" s="360"/>
      <c r="H92" s="373"/>
      <c r="I92" s="360"/>
      <c r="J92" s="360"/>
      <c r="K92" s="360"/>
      <c r="L92" s="360"/>
      <c r="M92" s="360"/>
      <c r="N92" s="360"/>
    </row>
    <row r="93" spans="1:14" s="375" customFormat="1" x14ac:dyDescent="0.25">
      <c r="A93" s="376"/>
      <c r="B93" s="360"/>
      <c r="C93" s="381"/>
      <c r="D93" s="787"/>
      <c r="E93" s="382"/>
      <c r="G93" s="360"/>
      <c r="H93" s="373"/>
      <c r="I93" s="360"/>
      <c r="J93" s="360"/>
      <c r="K93" s="360"/>
      <c r="L93" s="360"/>
      <c r="M93" s="360"/>
      <c r="N93" s="360"/>
    </row>
    <row r="94" spans="1:14" s="375" customFormat="1" x14ac:dyDescent="0.25">
      <c r="A94" s="376"/>
      <c r="B94" s="360"/>
      <c r="C94" s="381"/>
      <c r="D94" s="787"/>
      <c r="E94" s="382"/>
      <c r="G94" s="360"/>
      <c r="H94" s="373"/>
      <c r="I94" s="360"/>
      <c r="J94" s="360"/>
      <c r="K94" s="360"/>
      <c r="L94" s="360"/>
      <c r="M94" s="360"/>
      <c r="N94" s="360"/>
    </row>
    <row r="95" spans="1:14" s="375" customFormat="1" x14ac:dyDescent="0.25">
      <c r="A95" s="376"/>
      <c r="B95" s="360"/>
      <c r="C95" s="381"/>
      <c r="D95" s="787"/>
      <c r="E95" s="382"/>
      <c r="G95" s="360"/>
      <c r="H95" s="373"/>
      <c r="I95" s="360"/>
      <c r="J95" s="360"/>
      <c r="K95" s="360"/>
      <c r="L95" s="360"/>
      <c r="M95" s="360"/>
      <c r="N95" s="360"/>
    </row>
    <row r="96" spans="1:14" s="375" customFormat="1" x14ac:dyDescent="0.25">
      <c r="A96" s="376"/>
      <c r="B96" s="360"/>
      <c r="C96" s="374"/>
      <c r="D96" s="787"/>
      <c r="E96" s="382"/>
      <c r="G96" s="360"/>
      <c r="H96" s="373"/>
      <c r="I96" s="360"/>
      <c r="J96" s="360"/>
      <c r="K96" s="360"/>
      <c r="L96" s="360"/>
      <c r="M96" s="360"/>
      <c r="N96" s="360"/>
    </row>
    <row r="97" spans="1:14" s="375" customFormat="1" x14ac:dyDescent="0.25">
      <c r="A97" s="376"/>
      <c r="B97" s="360"/>
      <c r="C97" s="374"/>
      <c r="D97" s="787"/>
      <c r="E97" s="382"/>
      <c r="G97" s="360"/>
      <c r="H97" s="373"/>
      <c r="I97" s="360"/>
      <c r="J97" s="360"/>
      <c r="K97" s="360"/>
      <c r="L97" s="360"/>
      <c r="M97" s="360"/>
      <c r="N97" s="360"/>
    </row>
    <row r="98" spans="1:14" s="375" customFormat="1" x14ac:dyDescent="0.25">
      <c r="A98" s="376"/>
      <c r="B98" s="360"/>
      <c r="C98" s="381"/>
      <c r="D98" s="787"/>
      <c r="E98" s="382"/>
      <c r="G98" s="360"/>
      <c r="H98" s="373"/>
      <c r="I98" s="360"/>
      <c r="J98" s="360"/>
      <c r="K98" s="360"/>
      <c r="L98" s="360"/>
      <c r="M98" s="360"/>
      <c r="N98" s="360"/>
    </row>
    <row r="99" spans="1:14" s="375" customFormat="1" x14ac:dyDescent="0.25">
      <c r="A99" s="376"/>
      <c r="B99" s="360"/>
      <c r="C99" s="381"/>
      <c r="D99" s="787"/>
      <c r="E99" s="382"/>
      <c r="G99" s="360"/>
      <c r="H99" s="373"/>
      <c r="I99" s="360"/>
      <c r="J99" s="360"/>
      <c r="K99" s="360"/>
      <c r="L99" s="360"/>
      <c r="M99" s="360"/>
      <c r="N99" s="360"/>
    </row>
    <row r="100" spans="1:14" s="375" customFormat="1" x14ac:dyDescent="0.25">
      <c r="A100" s="376"/>
      <c r="B100" s="360"/>
      <c r="C100" s="381"/>
      <c r="D100" s="787"/>
      <c r="E100" s="382"/>
      <c r="G100" s="360"/>
      <c r="H100" s="373"/>
      <c r="I100" s="360"/>
      <c r="J100" s="360"/>
      <c r="K100" s="360"/>
      <c r="L100" s="360"/>
      <c r="M100" s="360"/>
      <c r="N100" s="360"/>
    </row>
    <row r="101" spans="1:14" s="375" customFormat="1" x14ac:dyDescent="0.25">
      <c r="A101" s="376"/>
      <c r="B101" s="360"/>
      <c r="C101" s="381"/>
      <c r="D101" s="787"/>
      <c r="E101" s="382"/>
      <c r="G101" s="360"/>
      <c r="H101" s="373"/>
      <c r="I101" s="360"/>
      <c r="J101" s="360"/>
      <c r="K101" s="360"/>
      <c r="L101" s="360"/>
      <c r="M101" s="360"/>
      <c r="N101" s="360"/>
    </row>
    <row r="102" spans="1:14" s="375" customFormat="1" x14ac:dyDescent="0.25">
      <c r="A102" s="376"/>
      <c r="B102" s="360"/>
      <c r="C102" s="381"/>
      <c r="D102" s="787"/>
      <c r="E102" s="382"/>
      <c r="G102" s="360"/>
      <c r="H102" s="373"/>
      <c r="I102" s="360"/>
      <c r="J102" s="360"/>
      <c r="K102" s="360"/>
      <c r="L102" s="360"/>
      <c r="M102" s="360"/>
      <c r="N102" s="360"/>
    </row>
    <row r="103" spans="1:14" s="375" customFormat="1" x14ac:dyDescent="0.25">
      <c r="A103" s="376"/>
      <c r="B103" s="360"/>
      <c r="C103" s="381"/>
      <c r="D103" s="787"/>
      <c r="E103" s="382"/>
      <c r="G103" s="360"/>
      <c r="H103" s="373"/>
      <c r="I103" s="360"/>
      <c r="J103" s="360"/>
      <c r="K103" s="360"/>
      <c r="L103" s="360"/>
      <c r="M103" s="360"/>
      <c r="N103" s="360"/>
    </row>
    <row r="104" spans="1:14" s="375" customFormat="1" x14ac:dyDescent="0.25">
      <c r="A104" s="360"/>
      <c r="B104" s="360"/>
      <c r="C104" s="381"/>
      <c r="D104" s="787"/>
      <c r="E104" s="382"/>
      <c r="G104" s="360"/>
      <c r="H104" s="373"/>
      <c r="I104" s="360"/>
      <c r="J104" s="360"/>
      <c r="K104" s="360"/>
      <c r="L104" s="360"/>
      <c r="M104" s="360"/>
      <c r="N104" s="360"/>
    </row>
    <row r="105" spans="1:14" s="375" customFormat="1" x14ac:dyDescent="0.25">
      <c r="A105" s="360"/>
      <c r="B105" s="360"/>
      <c r="C105" s="381"/>
      <c r="D105" s="787"/>
      <c r="E105" s="382"/>
      <c r="G105" s="360"/>
      <c r="H105" s="373"/>
      <c r="I105" s="360"/>
      <c r="J105" s="360"/>
      <c r="K105" s="360"/>
      <c r="L105" s="360"/>
      <c r="M105" s="360"/>
      <c r="N105" s="360"/>
    </row>
    <row r="106" spans="1:14" x14ac:dyDescent="0.25">
      <c r="C106" s="381"/>
      <c r="D106" s="787"/>
      <c r="E106" s="382"/>
    </row>
    <row r="107" spans="1:14" x14ac:dyDescent="0.25">
      <c r="C107" s="381"/>
      <c r="D107" s="787"/>
      <c r="E107" s="382"/>
    </row>
    <row r="108" spans="1:14" x14ac:dyDescent="0.25">
      <c r="C108" s="381"/>
      <c r="D108" s="787"/>
      <c r="E108" s="382"/>
    </row>
    <row r="109" spans="1:14" x14ac:dyDescent="0.25">
      <c r="C109" s="381"/>
      <c r="D109" s="787"/>
      <c r="E109" s="382"/>
    </row>
    <row r="110" spans="1:14" x14ac:dyDescent="0.25">
      <c r="C110" s="381"/>
      <c r="D110" s="787"/>
      <c r="E110" s="382"/>
    </row>
    <row r="111" spans="1:14" x14ac:dyDescent="0.25">
      <c r="C111" s="381"/>
      <c r="D111" s="787"/>
      <c r="E111" s="382"/>
    </row>
    <row r="112" spans="1:14" x14ac:dyDescent="0.25">
      <c r="C112" s="381"/>
      <c r="D112" s="787"/>
      <c r="E112" s="382"/>
    </row>
    <row r="113" spans="1:13" x14ac:dyDescent="0.25">
      <c r="C113" s="381"/>
      <c r="D113" s="787"/>
      <c r="E113" s="382"/>
    </row>
    <row r="114" spans="1:13" x14ac:dyDescent="0.25">
      <c r="C114" s="381"/>
      <c r="D114" s="787"/>
      <c r="E114" s="382"/>
    </row>
    <row r="115" spans="1:13" x14ac:dyDescent="0.25">
      <c r="A115" s="383"/>
      <c r="C115" s="384"/>
      <c r="D115" s="786"/>
      <c r="E115" s="380"/>
      <c r="G115" s="385"/>
      <c r="H115" s="386"/>
      <c r="I115" s="385"/>
      <c r="J115" s="385"/>
      <c r="K115" s="385"/>
      <c r="L115" s="385"/>
      <c r="M115" s="385"/>
    </row>
    <row r="116" spans="1:13" x14ac:dyDescent="0.25">
      <c r="A116" s="383"/>
      <c r="B116" s="385"/>
      <c r="C116" s="384"/>
      <c r="D116" s="786"/>
      <c r="E116" s="380"/>
      <c r="F116" s="380"/>
      <c r="G116" s="387"/>
      <c r="H116" s="569"/>
      <c r="I116" s="387"/>
      <c r="J116" s="387"/>
      <c r="K116" s="387"/>
      <c r="L116" s="387"/>
      <c r="M116" s="387"/>
    </row>
    <row r="117" spans="1:13" x14ac:dyDescent="0.25">
      <c r="A117" s="383"/>
      <c r="B117" s="385"/>
      <c r="C117" s="384"/>
      <c r="G117" s="385"/>
      <c r="H117" s="386"/>
      <c r="I117" s="385"/>
      <c r="J117" s="385"/>
      <c r="K117" s="385"/>
      <c r="L117" s="385"/>
      <c r="M117" s="385"/>
    </row>
    <row r="118" spans="1:13" x14ac:dyDescent="0.25">
      <c r="A118" s="383"/>
      <c r="B118" s="385"/>
      <c r="C118" s="384"/>
      <c r="G118" s="385"/>
      <c r="H118" s="386"/>
      <c r="I118" s="385"/>
      <c r="J118" s="385"/>
      <c r="K118" s="385"/>
      <c r="L118" s="385"/>
      <c r="M118" s="385"/>
    </row>
    <row r="119" spans="1:13" x14ac:dyDescent="0.25">
      <c r="A119" s="383"/>
      <c r="C119" s="384"/>
      <c r="G119" s="385"/>
      <c r="H119" s="386"/>
      <c r="I119" s="385"/>
      <c r="J119" s="385"/>
      <c r="K119" s="385"/>
      <c r="L119" s="385"/>
      <c r="M119" s="385"/>
    </row>
    <row r="120" spans="1:13" x14ac:dyDescent="0.25">
      <c r="A120" s="383"/>
      <c r="C120" s="384"/>
      <c r="G120" s="385"/>
      <c r="H120" s="386"/>
      <c r="I120" s="385"/>
      <c r="J120" s="385"/>
      <c r="K120" s="385"/>
      <c r="L120" s="385"/>
      <c r="M120" s="385"/>
    </row>
    <row r="121" spans="1:13" x14ac:dyDescent="0.25">
      <c r="A121" s="383"/>
      <c r="B121" s="570"/>
      <c r="C121" s="384"/>
      <c r="G121" s="385"/>
      <c r="H121" s="386"/>
      <c r="I121" s="385"/>
      <c r="J121" s="385"/>
      <c r="K121" s="385"/>
      <c r="L121" s="385"/>
      <c r="M121" s="385"/>
    </row>
    <row r="122" spans="1:13" x14ac:dyDescent="0.25">
      <c r="A122" s="383"/>
      <c r="C122" s="384"/>
      <c r="G122" s="385"/>
      <c r="H122" s="386"/>
      <c r="I122" s="385"/>
      <c r="J122" s="385"/>
      <c r="K122" s="385"/>
      <c r="L122" s="385"/>
      <c r="M122" s="385"/>
    </row>
    <row r="123" spans="1:13" x14ac:dyDescent="0.25">
      <c r="A123" s="383"/>
      <c r="B123" s="385"/>
      <c r="C123" s="384"/>
      <c r="G123" s="385"/>
      <c r="H123" s="386"/>
      <c r="I123" s="385"/>
      <c r="J123" s="385"/>
      <c r="K123" s="385"/>
      <c r="L123" s="385"/>
      <c r="M123" s="385"/>
    </row>
    <row r="124" spans="1:13" x14ac:dyDescent="0.25">
      <c r="A124" s="383"/>
      <c r="B124" s="385"/>
      <c r="C124" s="384"/>
      <c r="G124" s="385"/>
      <c r="H124" s="386"/>
      <c r="I124" s="385"/>
      <c r="J124" s="385"/>
      <c r="K124" s="385"/>
      <c r="L124" s="385"/>
      <c r="M124" s="385"/>
    </row>
    <row r="125" spans="1:13" x14ac:dyDescent="0.25">
      <c r="A125" s="383"/>
      <c r="B125" s="385"/>
      <c r="C125" s="384"/>
      <c r="G125" s="385"/>
      <c r="H125" s="386"/>
      <c r="I125" s="385"/>
      <c r="J125" s="385"/>
      <c r="K125" s="385"/>
      <c r="L125" s="385"/>
      <c r="M125" s="385"/>
    </row>
    <row r="126" spans="1:13" x14ac:dyDescent="0.25">
      <c r="A126" s="383"/>
      <c r="B126" s="385"/>
      <c r="C126" s="384"/>
      <c r="G126" s="385"/>
      <c r="H126" s="386"/>
      <c r="I126" s="385"/>
      <c r="J126" s="385"/>
      <c r="K126" s="385"/>
      <c r="L126" s="385"/>
      <c r="M126" s="385"/>
    </row>
    <row r="127" spans="1:13" x14ac:dyDescent="0.25">
      <c r="A127" s="383"/>
      <c r="B127" s="385"/>
      <c r="C127" s="384"/>
      <c r="G127" s="385"/>
      <c r="H127" s="386"/>
      <c r="I127" s="385"/>
      <c r="J127" s="385"/>
      <c r="K127" s="385"/>
      <c r="L127" s="385"/>
      <c r="M127" s="385"/>
    </row>
    <row r="128" spans="1:13" x14ac:dyDescent="0.25">
      <c r="A128" s="383"/>
      <c r="B128" s="385"/>
      <c r="C128" s="384"/>
      <c r="G128" s="385"/>
      <c r="H128" s="386"/>
      <c r="I128" s="385"/>
      <c r="J128" s="385"/>
      <c r="K128" s="385"/>
      <c r="L128" s="385"/>
      <c r="M128" s="385"/>
    </row>
    <row r="129" spans="2:13" x14ac:dyDescent="0.25">
      <c r="C129" s="384"/>
      <c r="G129" s="385"/>
      <c r="H129" s="386"/>
      <c r="I129" s="385"/>
      <c r="J129" s="385"/>
      <c r="K129" s="385"/>
      <c r="L129" s="385"/>
      <c r="M129" s="385"/>
    </row>
    <row r="130" spans="2:13" x14ac:dyDescent="0.25">
      <c r="B130" s="385"/>
      <c r="C130" s="384"/>
      <c r="G130" s="385"/>
      <c r="H130" s="386"/>
      <c r="I130" s="385"/>
      <c r="J130" s="385"/>
      <c r="K130" s="385"/>
      <c r="L130" s="385"/>
      <c r="M130" s="385"/>
    </row>
    <row r="131" spans="2:13" x14ac:dyDescent="0.25">
      <c r="B131" s="385"/>
      <c r="C131" s="384"/>
      <c r="G131" s="385"/>
      <c r="H131" s="386"/>
      <c r="I131" s="385"/>
      <c r="J131" s="385"/>
      <c r="K131" s="385"/>
      <c r="L131" s="385"/>
      <c r="M131" s="385"/>
    </row>
    <row r="132" spans="2:13" x14ac:dyDescent="0.25">
      <c r="B132" s="385"/>
      <c r="C132" s="384"/>
      <c r="G132" s="385"/>
      <c r="H132" s="386"/>
      <c r="I132" s="385"/>
      <c r="J132" s="385"/>
      <c r="K132" s="385"/>
      <c r="L132" s="385"/>
      <c r="M132" s="385"/>
    </row>
    <row r="133" spans="2:13" x14ac:dyDescent="0.25">
      <c r="B133" s="570"/>
      <c r="C133" s="384"/>
      <c r="G133" s="385"/>
      <c r="H133" s="386"/>
      <c r="I133" s="385"/>
      <c r="J133" s="385"/>
      <c r="K133" s="385"/>
      <c r="L133" s="385"/>
      <c r="M133" s="385"/>
    </row>
    <row r="134" spans="2:13" x14ac:dyDescent="0.25">
      <c r="B134" s="385"/>
      <c r="C134" s="384"/>
      <c r="G134" s="385"/>
      <c r="H134" s="386"/>
      <c r="I134" s="385"/>
      <c r="J134" s="385"/>
      <c r="K134" s="385"/>
      <c r="L134" s="385"/>
      <c r="M134" s="385"/>
    </row>
    <row r="135" spans="2:13" x14ac:dyDescent="0.25">
      <c r="B135" s="385"/>
      <c r="C135" s="384"/>
      <c r="G135" s="385"/>
      <c r="H135" s="386"/>
      <c r="I135" s="385"/>
      <c r="J135" s="385"/>
      <c r="K135" s="385"/>
      <c r="L135" s="385"/>
      <c r="M135" s="385"/>
    </row>
    <row r="136" spans="2:13" x14ac:dyDescent="0.25">
      <c r="B136" s="385"/>
      <c r="C136" s="384"/>
      <c r="G136" s="385"/>
      <c r="H136" s="386"/>
      <c r="I136" s="385"/>
      <c r="J136" s="385"/>
      <c r="K136" s="385"/>
      <c r="L136" s="385"/>
      <c r="M136" s="385"/>
    </row>
    <row r="137" spans="2:13" x14ac:dyDescent="0.25">
      <c r="B137" s="385"/>
      <c r="C137" s="384"/>
      <c r="G137" s="385"/>
      <c r="H137" s="386"/>
      <c r="I137" s="385"/>
      <c r="J137" s="385"/>
      <c r="K137" s="385"/>
      <c r="L137" s="385"/>
      <c r="M137" s="385"/>
    </row>
    <row r="138" spans="2:13" x14ac:dyDescent="0.25">
      <c r="B138" s="385"/>
      <c r="C138" s="384"/>
      <c r="G138" s="385"/>
      <c r="H138" s="386"/>
      <c r="I138" s="385"/>
      <c r="J138" s="385"/>
      <c r="K138" s="385"/>
      <c r="L138" s="385"/>
      <c r="M138" s="385"/>
    </row>
    <row r="139" spans="2:13" x14ac:dyDescent="0.25">
      <c r="B139" s="385"/>
      <c r="C139" s="384"/>
      <c r="G139" s="385"/>
      <c r="H139" s="386"/>
      <c r="I139" s="385"/>
      <c r="J139" s="385"/>
      <c r="K139" s="385"/>
      <c r="L139" s="385"/>
      <c r="M139" s="385"/>
    </row>
    <row r="140" spans="2:13" x14ac:dyDescent="0.25">
      <c r="B140" s="385"/>
      <c r="C140" s="384"/>
      <c r="G140" s="385"/>
      <c r="H140" s="386"/>
      <c r="I140" s="385"/>
      <c r="J140" s="385"/>
      <c r="K140" s="385"/>
      <c r="L140" s="385"/>
      <c r="M140" s="385"/>
    </row>
    <row r="141" spans="2:13" x14ac:dyDescent="0.25">
      <c r="B141" s="385"/>
      <c r="C141" s="384"/>
      <c r="G141" s="385"/>
      <c r="H141" s="386"/>
      <c r="I141" s="385"/>
      <c r="J141" s="385"/>
      <c r="K141" s="385"/>
      <c r="L141" s="385"/>
      <c r="M141" s="385"/>
    </row>
    <row r="142" spans="2:13" x14ac:dyDescent="0.25">
      <c r="B142" s="379"/>
      <c r="C142" s="384"/>
      <c r="G142" s="385"/>
      <c r="H142" s="386"/>
      <c r="I142" s="385"/>
      <c r="J142" s="385"/>
      <c r="K142" s="385"/>
      <c r="L142" s="385"/>
      <c r="M142" s="385"/>
    </row>
    <row r="143" spans="2:13" x14ac:dyDescent="0.25">
      <c r="C143" s="384"/>
      <c r="G143" s="385"/>
      <c r="H143" s="386"/>
      <c r="I143" s="385"/>
      <c r="J143" s="385"/>
      <c r="K143" s="385"/>
      <c r="L143" s="385"/>
      <c r="M143" s="385"/>
    </row>
    <row r="144" spans="2:13" x14ac:dyDescent="0.25">
      <c r="B144" s="379"/>
      <c r="C144" s="384"/>
      <c r="G144" s="385"/>
      <c r="H144" s="386"/>
      <c r="I144" s="385"/>
      <c r="J144" s="385"/>
      <c r="K144" s="385"/>
      <c r="L144" s="385"/>
      <c r="M144" s="385"/>
    </row>
    <row r="145" spans="2:13" x14ac:dyDescent="0.25">
      <c r="C145" s="384"/>
      <c r="G145" s="385"/>
      <c r="H145" s="386"/>
      <c r="I145" s="385"/>
      <c r="J145" s="385"/>
      <c r="K145" s="385"/>
      <c r="L145" s="385"/>
      <c r="M145" s="385"/>
    </row>
    <row r="146" spans="2:13" x14ac:dyDescent="0.25">
      <c r="B146" s="385"/>
      <c r="C146" s="384"/>
      <c r="G146" s="385"/>
      <c r="H146" s="386"/>
      <c r="I146" s="385"/>
      <c r="J146" s="385"/>
      <c r="K146" s="385"/>
      <c r="L146" s="385"/>
      <c r="M146" s="385"/>
    </row>
    <row r="147" spans="2:13" x14ac:dyDescent="0.25">
      <c r="B147" s="385"/>
      <c r="C147" s="384"/>
      <c r="G147" s="385"/>
      <c r="H147" s="386"/>
      <c r="I147" s="385"/>
      <c r="J147" s="385"/>
      <c r="K147" s="385"/>
      <c r="L147" s="385"/>
      <c r="M147" s="385"/>
    </row>
    <row r="148" spans="2:13" x14ac:dyDescent="0.25">
      <c r="B148" s="385"/>
      <c r="C148" s="384"/>
      <c r="G148" s="385"/>
      <c r="H148" s="386"/>
      <c r="I148" s="385"/>
      <c r="J148" s="385"/>
      <c r="K148" s="385"/>
      <c r="L148" s="385"/>
      <c r="M148" s="385"/>
    </row>
    <row r="149" spans="2:13" x14ac:dyDescent="0.25">
      <c r="B149" s="379"/>
      <c r="C149" s="384"/>
      <c r="G149" s="385"/>
      <c r="H149" s="386"/>
      <c r="I149" s="385"/>
      <c r="J149" s="385"/>
      <c r="K149" s="385"/>
      <c r="L149" s="385"/>
      <c r="M149" s="385"/>
    </row>
    <row r="150" spans="2:13" x14ac:dyDescent="0.25">
      <c r="C150" s="384"/>
      <c r="G150" s="385"/>
      <c r="H150" s="386"/>
      <c r="I150" s="385"/>
      <c r="J150" s="385"/>
      <c r="K150" s="385"/>
      <c r="L150" s="385"/>
      <c r="M150" s="385"/>
    </row>
    <row r="151" spans="2:13" x14ac:dyDescent="0.25">
      <c r="B151" s="385"/>
      <c r="C151" s="384"/>
      <c r="G151" s="385"/>
      <c r="H151" s="386"/>
      <c r="I151" s="385"/>
      <c r="J151" s="385"/>
      <c r="K151" s="385"/>
      <c r="L151" s="385"/>
      <c r="M151" s="385"/>
    </row>
    <row r="152" spans="2:13" x14ac:dyDescent="0.25">
      <c r="B152" s="385"/>
      <c r="C152" s="384"/>
      <c r="G152" s="385"/>
      <c r="H152" s="386"/>
      <c r="I152" s="385"/>
      <c r="J152" s="385"/>
      <c r="K152" s="385"/>
      <c r="L152" s="385"/>
      <c r="M152" s="385"/>
    </row>
    <row r="153" spans="2:13" x14ac:dyDescent="0.25">
      <c r="B153" s="379"/>
      <c r="C153" s="384"/>
      <c r="G153" s="385"/>
      <c r="H153" s="386"/>
      <c r="I153" s="385"/>
      <c r="J153" s="385"/>
      <c r="K153" s="385"/>
      <c r="L153" s="385"/>
      <c r="M153" s="385"/>
    </row>
    <row r="154" spans="2:13" x14ac:dyDescent="0.25">
      <c r="C154" s="384"/>
      <c r="G154" s="385"/>
      <c r="H154" s="386"/>
      <c r="I154" s="385"/>
      <c r="J154" s="385"/>
      <c r="K154" s="385"/>
      <c r="L154" s="385"/>
      <c r="M154" s="385"/>
    </row>
    <row r="155" spans="2:13" x14ac:dyDescent="0.25">
      <c r="B155" s="570"/>
      <c r="C155" s="390"/>
      <c r="G155" s="385"/>
      <c r="H155" s="386"/>
      <c r="I155" s="385"/>
      <c r="J155" s="385"/>
      <c r="K155" s="385"/>
      <c r="L155" s="385"/>
      <c r="M155" s="385"/>
    </row>
    <row r="156" spans="2:13" x14ac:dyDescent="0.25">
      <c r="B156" s="379"/>
      <c r="C156" s="384"/>
      <c r="G156" s="385"/>
      <c r="H156" s="386"/>
      <c r="I156" s="385"/>
      <c r="J156" s="385"/>
      <c r="K156" s="385"/>
      <c r="L156" s="385"/>
      <c r="M156" s="385"/>
    </row>
    <row r="157" spans="2:13" x14ac:dyDescent="0.25">
      <c r="B157" s="379"/>
      <c r="C157" s="384"/>
      <c r="G157" s="385"/>
      <c r="H157" s="386"/>
      <c r="I157" s="385"/>
      <c r="J157" s="385"/>
      <c r="K157" s="385"/>
      <c r="L157" s="385"/>
      <c r="M157" s="385"/>
    </row>
    <row r="158" spans="2:13" x14ac:dyDescent="0.25">
      <c r="C158" s="384"/>
      <c r="G158" s="385"/>
      <c r="H158" s="386"/>
      <c r="I158" s="385"/>
      <c r="J158" s="385"/>
      <c r="K158" s="385"/>
      <c r="L158" s="385"/>
      <c r="M158" s="385"/>
    </row>
    <row r="159" spans="2:13" x14ac:dyDescent="0.25">
      <c r="G159" s="385"/>
      <c r="H159" s="386"/>
      <c r="I159" s="385"/>
      <c r="J159" s="385"/>
      <c r="K159" s="385"/>
      <c r="L159" s="385"/>
      <c r="M159" s="385"/>
    </row>
    <row r="160" spans="2:13" x14ac:dyDescent="0.25">
      <c r="C160" s="390"/>
      <c r="G160" s="391"/>
      <c r="H160" s="571"/>
      <c r="I160" s="391"/>
      <c r="J160" s="391"/>
      <c r="K160" s="391"/>
      <c r="L160" s="391"/>
      <c r="M160" s="391"/>
    </row>
    <row r="161" spans="1:13" x14ac:dyDescent="0.25">
      <c r="C161" s="390"/>
      <c r="G161" s="391"/>
      <c r="H161" s="571"/>
      <c r="I161" s="391"/>
      <c r="J161" s="391"/>
      <c r="K161" s="391"/>
      <c r="L161" s="391"/>
      <c r="M161" s="391"/>
    </row>
    <row r="163" spans="1:13" x14ac:dyDescent="0.25">
      <c r="A163" s="381"/>
      <c r="C163" s="381"/>
      <c r="D163" s="787"/>
      <c r="E163" s="382"/>
    </row>
    <row r="164" spans="1:13" x14ac:dyDescent="0.25">
      <c r="B164" s="385"/>
      <c r="C164" s="384"/>
      <c r="D164" s="786"/>
      <c r="E164" s="380"/>
      <c r="G164" s="385"/>
      <c r="H164" s="386"/>
      <c r="I164" s="385"/>
      <c r="J164" s="385"/>
      <c r="K164" s="385"/>
      <c r="L164" s="385"/>
      <c r="M164" s="385"/>
    </row>
    <row r="165" spans="1:13" x14ac:dyDescent="0.25">
      <c r="B165" s="385"/>
      <c r="C165" s="384"/>
      <c r="D165" s="786"/>
      <c r="E165" s="380"/>
      <c r="F165" s="380"/>
      <c r="G165" s="387"/>
      <c r="H165" s="569"/>
      <c r="I165" s="387"/>
      <c r="J165" s="387"/>
      <c r="K165" s="387"/>
      <c r="L165" s="387"/>
      <c r="M165" s="387"/>
    </row>
    <row r="166" spans="1:13" x14ac:dyDescent="0.25">
      <c r="B166" s="385"/>
      <c r="C166" s="384"/>
      <c r="G166" s="385"/>
      <c r="H166" s="386"/>
      <c r="I166" s="385"/>
      <c r="J166" s="385"/>
      <c r="K166" s="385"/>
      <c r="L166" s="385"/>
      <c r="M166" s="385"/>
    </row>
    <row r="167" spans="1:13" x14ac:dyDescent="0.25">
      <c r="B167" s="385"/>
      <c r="C167" s="384"/>
      <c r="G167" s="385"/>
      <c r="H167" s="386"/>
      <c r="I167" s="385"/>
      <c r="J167" s="385"/>
      <c r="K167" s="385"/>
      <c r="L167" s="385"/>
      <c r="M167" s="385"/>
    </row>
    <row r="168" spans="1:13" x14ac:dyDescent="0.25">
      <c r="B168" s="385"/>
      <c r="C168" s="384"/>
      <c r="G168" s="385"/>
      <c r="H168" s="386"/>
      <c r="I168" s="385"/>
      <c r="J168" s="385"/>
      <c r="K168" s="385"/>
      <c r="L168" s="385"/>
      <c r="M168" s="385"/>
    </row>
    <row r="169" spans="1:13" x14ac:dyDescent="0.25">
      <c r="B169" s="385"/>
      <c r="C169" s="384"/>
      <c r="G169" s="385"/>
      <c r="H169" s="386"/>
      <c r="I169" s="385"/>
      <c r="J169" s="385"/>
      <c r="K169" s="385"/>
      <c r="L169" s="385"/>
      <c r="M169" s="385"/>
    </row>
    <row r="170" spans="1:13" x14ac:dyDescent="0.25">
      <c r="B170" s="570"/>
      <c r="C170" s="384"/>
      <c r="G170" s="385"/>
      <c r="H170" s="386"/>
      <c r="I170" s="385"/>
      <c r="J170" s="385"/>
      <c r="K170" s="385"/>
      <c r="L170" s="385"/>
      <c r="M170" s="385"/>
    </row>
    <row r="171" spans="1:13" x14ac:dyDescent="0.25">
      <c r="C171" s="384"/>
      <c r="G171" s="385"/>
      <c r="H171" s="386"/>
      <c r="I171" s="385"/>
      <c r="J171" s="385"/>
      <c r="K171" s="385"/>
      <c r="L171" s="385"/>
      <c r="M171" s="385"/>
    </row>
    <row r="172" spans="1:13" x14ac:dyDescent="0.25">
      <c r="B172" s="385"/>
      <c r="C172" s="384"/>
      <c r="G172" s="385"/>
      <c r="H172" s="386"/>
      <c r="I172" s="385"/>
      <c r="J172" s="385"/>
      <c r="K172" s="385"/>
      <c r="L172" s="385"/>
      <c r="M172" s="385"/>
    </row>
    <row r="173" spans="1:13" x14ac:dyDescent="0.25">
      <c r="B173" s="385"/>
      <c r="C173" s="384"/>
      <c r="G173" s="385"/>
      <c r="H173" s="386"/>
      <c r="I173" s="385"/>
      <c r="J173" s="385"/>
      <c r="K173" s="385"/>
      <c r="L173" s="385"/>
      <c r="M173" s="385"/>
    </row>
    <row r="174" spans="1:13" x14ac:dyDescent="0.25">
      <c r="B174" s="385"/>
      <c r="C174" s="384"/>
      <c r="G174" s="385"/>
      <c r="H174" s="386"/>
      <c r="I174" s="385"/>
      <c r="J174" s="385"/>
      <c r="K174" s="385"/>
      <c r="L174" s="385"/>
      <c r="M174" s="385"/>
    </row>
    <row r="175" spans="1:13" x14ac:dyDescent="0.25">
      <c r="B175" s="385"/>
      <c r="C175" s="384"/>
      <c r="G175" s="385"/>
      <c r="H175" s="386"/>
      <c r="I175" s="385"/>
      <c r="J175" s="385"/>
      <c r="K175" s="385"/>
      <c r="L175" s="385"/>
      <c r="M175" s="385"/>
    </row>
    <row r="176" spans="1:13" x14ac:dyDescent="0.25">
      <c r="C176" s="384"/>
      <c r="G176" s="385"/>
      <c r="H176" s="386"/>
      <c r="I176" s="385"/>
      <c r="J176" s="385"/>
      <c r="K176" s="385"/>
      <c r="L176" s="385"/>
      <c r="M176" s="385"/>
    </row>
    <row r="177" spans="2:13" x14ac:dyDescent="0.25">
      <c r="B177" s="385"/>
      <c r="C177" s="384"/>
      <c r="G177" s="385"/>
      <c r="H177" s="386"/>
      <c r="I177" s="385"/>
      <c r="J177" s="385"/>
      <c r="K177" s="385"/>
      <c r="L177" s="385"/>
      <c r="M177" s="385"/>
    </row>
    <row r="178" spans="2:13" x14ac:dyDescent="0.25">
      <c r="B178" s="385"/>
      <c r="C178" s="384"/>
      <c r="G178" s="385"/>
      <c r="H178" s="386"/>
      <c r="I178" s="385"/>
      <c r="J178" s="385"/>
      <c r="K178" s="385"/>
      <c r="L178" s="385"/>
      <c r="M178" s="385"/>
    </row>
    <row r="179" spans="2:13" x14ac:dyDescent="0.25">
      <c r="B179" s="385"/>
      <c r="C179" s="384"/>
      <c r="G179" s="385"/>
      <c r="H179" s="386"/>
      <c r="I179" s="385"/>
      <c r="J179" s="385"/>
      <c r="K179" s="385"/>
      <c r="L179" s="385"/>
      <c r="M179" s="385"/>
    </row>
    <row r="180" spans="2:13" x14ac:dyDescent="0.25">
      <c r="B180" s="570"/>
      <c r="C180" s="384"/>
      <c r="G180" s="385"/>
      <c r="H180" s="386"/>
      <c r="I180" s="385"/>
      <c r="J180" s="385"/>
      <c r="K180" s="385"/>
      <c r="L180" s="385"/>
      <c r="M180" s="385"/>
    </row>
    <row r="181" spans="2:13" x14ac:dyDescent="0.25">
      <c r="B181" s="385"/>
      <c r="C181" s="384"/>
      <c r="G181" s="385"/>
      <c r="H181" s="386"/>
      <c r="I181" s="385"/>
      <c r="J181" s="385"/>
      <c r="K181" s="385"/>
      <c r="L181" s="385"/>
      <c r="M181" s="385"/>
    </row>
    <row r="182" spans="2:13" x14ac:dyDescent="0.25">
      <c r="B182" s="385"/>
      <c r="C182" s="384"/>
      <c r="G182" s="385"/>
      <c r="H182" s="386"/>
      <c r="I182" s="385"/>
      <c r="J182" s="385"/>
      <c r="K182" s="385"/>
      <c r="L182" s="385"/>
      <c r="M182" s="385"/>
    </row>
    <row r="183" spans="2:13" x14ac:dyDescent="0.25">
      <c r="B183" s="385"/>
      <c r="C183" s="384"/>
      <c r="G183" s="385"/>
      <c r="H183" s="386"/>
      <c r="I183" s="385"/>
      <c r="J183" s="385"/>
      <c r="K183" s="385"/>
      <c r="L183" s="385"/>
      <c r="M183" s="385"/>
    </row>
    <row r="184" spans="2:13" x14ac:dyDescent="0.25">
      <c r="B184" s="385"/>
      <c r="C184" s="384"/>
      <c r="G184" s="385"/>
      <c r="H184" s="386"/>
      <c r="I184" s="385"/>
      <c r="J184" s="385"/>
      <c r="K184" s="385"/>
      <c r="L184" s="385"/>
      <c r="M184" s="385"/>
    </row>
    <row r="185" spans="2:13" x14ac:dyDescent="0.25">
      <c r="B185" s="385"/>
      <c r="C185" s="384"/>
      <c r="G185" s="385"/>
      <c r="H185" s="386"/>
      <c r="I185" s="385"/>
      <c r="J185" s="385"/>
      <c r="K185" s="385"/>
      <c r="L185" s="385"/>
      <c r="M185" s="385"/>
    </row>
    <row r="186" spans="2:13" x14ac:dyDescent="0.25">
      <c r="B186" s="385"/>
      <c r="C186" s="384"/>
      <c r="G186" s="385"/>
      <c r="H186" s="386"/>
      <c r="I186" s="385"/>
      <c r="J186" s="385"/>
      <c r="K186" s="385"/>
      <c r="L186" s="385"/>
      <c r="M186" s="385"/>
    </row>
    <row r="187" spans="2:13" x14ac:dyDescent="0.25">
      <c r="B187" s="385"/>
      <c r="C187" s="384"/>
      <c r="G187" s="385"/>
      <c r="H187" s="386"/>
      <c r="I187" s="385"/>
      <c r="J187" s="385"/>
      <c r="K187" s="385"/>
      <c r="L187" s="385"/>
      <c r="M187" s="385"/>
    </row>
    <row r="188" spans="2:13" x14ac:dyDescent="0.25">
      <c r="B188" s="385"/>
      <c r="C188" s="384"/>
      <c r="G188" s="385"/>
      <c r="H188" s="386"/>
      <c r="I188" s="385"/>
      <c r="J188" s="385"/>
      <c r="K188" s="385"/>
      <c r="L188" s="385"/>
      <c r="M188" s="385"/>
    </row>
    <row r="189" spans="2:13" x14ac:dyDescent="0.25">
      <c r="B189" s="379"/>
      <c r="C189" s="384"/>
      <c r="G189" s="385"/>
      <c r="H189" s="386"/>
      <c r="I189" s="385"/>
      <c r="J189" s="385"/>
      <c r="K189" s="385"/>
      <c r="L189" s="385"/>
      <c r="M189" s="385"/>
    </row>
    <row r="190" spans="2:13" x14ac:dyDescent="0.25">
      <c r="C190" s="384"/>
      <c r="G190" s="385"/>
      <c r="H190" s="386"/>
      <c r="I190" s="385"/>
      <c r="J190" s="385"/>
      <c r="K190" s="385"/>
      <c r="L190" s="385"/>
      <c r="M190" s="385"/>
    </row>
    <row r="191" spans="2:13" x14ac:dyDescent="0.25">
      <c r="B191" s="379"/>
      <c r="C191" s="384"/>
      <c r="G191" s="385"/>
      <c r="H191" s="386"/>
      <c r="I191" s="385"/>
      <c r="J191" s="385"/>
      <c r="K191" s="385"/>
      <c r="L191" s="385"/>
      <c r="M191" s="385"/>
    </row>
    <row r="192" spans="2:13" x14ac:dyDescent="0.25">
      <c r="C192" s="384"/>
      <c r="G192" s="385"/>
      <c r="H192" s="386"/>
      <c r="I192" s="385"/>
      <c r="J192" s="385"/>
      <c r="K192" s="385"/>
      <c r="L192" s="385"/>
      <c r="M192" s="385"/>
    </row>
    <row r="193" spans="2:13" x14ac:dyDescent="0.25">
      <c r="B193" s="385"/>
      <c r="C193" s="384"/>
      <c r="G193" s="385"/>
      <c r="H193" s="386"/>
      <c r="I193" s="385"/>
      <c r="J193" s="385"/>
      <c r="K193" s="385"/>
      <c r="L193" s="385"/>
      <c r="M193" s="385"/>
    </row>
    <row r="194" spans="2:13" x14ac:dyDescent="0.25">
      <c r="B194" s="385"/>
      <c r="C194" s="384"/>
      <c r="G194" s="385"/>
      <c r="H194" s="386"/>
      <c r="I194" s="385"/>
      <c r="J194" s="385"/>
      <c r="K194" s="385"/>
      <c r="L194" s="385"/>
      <c r="M194" s="385"/>
    </row>
    <row r="195" spans="2:13" x14ac:dyDescent="0.25">
      <c r="B195" s="385"/>
      <c r="C195" s="384"/>
      <c r="G195" s="385"/>
      <c r="H195" s="386"/>
      <c r="I195" s="385"/>
      <c r="J195" s="385"/>
      <c r="K195" s="385"/>
      <c r="L195" s="385"/>
      <c r="M195" s="385"/>
    </row>
    <row r="196" spans="2:13" x14ac:dyDescent="0.25">
      <c r="B196" s="379"/>
      <c r="C196" s="384"/>
      <c r="G196" s="385"/>
      <c r="H196" s="386"/>
      <c r="I196" s="385"/>
      <c r="J196" s="385"/>
      <c r="K196" s="385"/>
      <c r="L196" s="385"/>
      <c r="M196" s="385"/>
    </row>
    <row r="197" spans="2:13" x14ac:dyDescent="0.25">
      <c r="C197" s="384"/>
      <c r="G197" s="385"/>
      <c r="H197" s="386"/>
      <c r="I197" s="385"/>
      <c r="J197" s="385"/>
      <c r="K197" s="385"/>
      <c r="L197" s="385"/>
      <c r="M197" s="385"/>
    </row>
    <row r="198" spans="2:13" x14ac:dyDescent="0.25">
      <c r="B198" s="385"/>
      <c r="C198" s="384"/>
      <c r="G198" s="385"/>
      <c r="H198" s="386"/>
      <c r="I198" s="385"/>
      <c r="J198" s="385"/>
      <c r="K198" s="385"/>
      <c r="L198" s="385"/>
      <c r="M198" s="385"/>
    </row>
    <row r="199" spans="2:13" x14ac:dyDescent="0.25">
      <c r="B199" s="385"/>
      <c r="C199" s="384"/>
      <c r="G199" s="385"/>
      <c r="H199" s="386"/>
      <c r="I199" s="385"/>
      <c r="J199" s="385"/>
      <c r="K199" s="385"/>
      <c r="L199" s="385"/>
      <c r="M199" s="385"/>
    </row>
    <row r="200" spans="2:13" x14ac:dyDescent="0.25">
      <c r="B200" s="379"/>
      <c r="C200" s="384"/>
      <c r="G200" s="385"/>
      <c r="H200" s="386"/>
      <c r="I200" s="385"/>
      <c r="J200" s="385"/>
      <c r="K200" s="385"/>
      <c r="L200" s="385"/>
      <c r="M200" s="385"/>
    </row>
    <row r="201" spans="2:13" x14ac:dyDescent="0.25">
      <c r="C201" s="384"/>
      <c r="G201" s="385"/>
      <c r="H201" s="386"/>
      <c r="I201" s="385"/>
      <c r="J201" s="385"/>
      <c r="K201" s="385"/>
      <c r="L201" s="385"/>
      <c r="M201" s="385"/>
    </row>
    <row r="202" spans="2:13" x14ac:dyDescent="0.25">
      <c r="B202" s="570"/>
      <c r="C202" s="390"/>
      <c r="G202" s="385"/>
      <c r="H202" s="386"/>
      <c r="I202" s="385"/>
      <c r="J202" s="385"/>
      <c r="K202" s="385"/>
      <c r="L202" s="385"/>
      <c r="M202" s="385"/>
    </row>
    <row r="203" spans="2:13" x14ac:dyDescent="0.25">
      <c r="B203" s="379"/>
      <c r="C203" s="384"/>
      <c r="G203" s="385"/>
      <c r="H203" s="386"/>
      <c r="I203" s="385"/>
      <c r="J203" s="385"/>
      <c r="K203" s="385"/>
      <c r="L203" s="385"/>
      <c r="M203" s="385"/>
    </row>
    <row r="204" spans="2:13" x14ac:dyDescent="0.25">
      <c r="B204" s="379"/>
      <c r="C204" s="384"/>
      <c r="G204" s="385"/>
      <c r="H204" s="386"/>
      <c r="I204" s="385"/>
      <c r="J204" s="385"/>
      <c r="K204" s="385"/>
      <c r="L204" s="385"/>
      <c r="M204" s="385"/>
    </row>
    <row r="205" spans="2:13" x14ac:dyDescent="0.25">
      <c r="C205" s="390"/>
      <c r="G205" s="385"/>
      <c r="H205" s="386"/>
      <c r="I205" s="385"/>
      <c r="J205" s="385"/>
      <c r="K205" s="385"/>
      <c r="L205" s="385"/>
      <c r="M205" s="385"/>
    </row>
    <row r="206" spans="2:13" x14ac:dyDescent="0.25">
      <c r="G206" s="385"/>
      <c r="H206" s="386"/>
      <c r="I206" s="385"/>
      <c r="J206" s="385"/>
      <c r="K206" s="385"/>
      <c r="L206" s="385"/>
      <c r="M206" s="385"/>
    </row>
    <row r="207" spans="2:13" x14ac:dyDescent="0.25">
      <c r="K207" s="391"/>
      <c r="L207" s="391"/>
      <c r="M207" s="391"/>
    </row>
    <row r="209" spans="1:13" x14ac:dyDescent="0.25">
      <c r="A209" s="381"/>
      <c r="C209" s="381"/>
      <c r="D209" s="787"/>
      <c r="E209" s="382"/>
    </row>
    <row r="210" spans="1:13" x14ac:dyDescent="0.25">
      <c r="B210" s="385"/>
      <c r="C210" s="384"/>
      <c r="D210" s="786"/>
      <c r="E210" s="380"/>
      <c r="G210" s="385"/>
      <c r="H210" s="386"/>
      <c r="I210" s="385"/>
      <c r="J210" s="385"/>
      <c r="K210" s="385"/>
      <c r="L210" s="385"/>
      <c r="M210" s="385"/>
    </row>
    <row r="211" spans="1:13" x14ac:dyDescent="0.25">
      <c r="B211" s="385"/>
      <c r="C211" s="384"/>
      <c r="D211" s="786"/>
      <c r="E211" s="380"/>
      <c r="F211" s="380"/>
      <c r="G211" s="387"/>
      <c r="H211" s="569"/>
      <c r="I211" s="387"/>
      <c r="J211" s="387"/>
      <c r="K211" s="387"/>
      <c r="L211" s="387"/>
      <c r="M211" s="387"/>
    </row>
    <row r="212" spans="1:13" x14ac:dyDescent="0.25">
      <c r="B212" s="385"/>
      <c r="C212" s="384"/>
      <c r="G212" s="385"/>
      <c r="H212" s="386"/>
      <c r="I212" s="385"/>
      <c r="J212" s="385"/>
      <c r="K212" s="385"/>
      <c r="L212" s="385"/>
      <c r="M212" s="385"/>
    </row>
    <row r="213" spans="1:13" x14ac:dyDescent="0.25">
      <c r="B213" s="385"/>
      <c r="C213" s="384"/>
      <c r="G213" s="385"/>
      <c r="H213" s="386"/>
      <c r="I213" s="385"/>
      <c r="J213" s="385"/>
      <c r="K213" s="385"/>
      <c r="L213" s="385"/>
      <c r="M213" s="385"/>
    </row>
    <row r="214" spans="1:13" x14ac:dyDescent="0.25">
      <c r="B214" s="385"/>
      <c r="C214" s="384"/>
      <c r="G214" s="385"/>
      <c r="H214" s="386"/>
      <c r="I214" s="385"/>
      <c r="J214" s="385"/>
      <c r="K214" s="385"/>
      <c r="L214" s="385"/>
      <c r="M214" s="385"/>
    </row>
    <row r="215" spans="1:13" x14ac:dyDescent="0.25">
      <c r="B215" s="385"/>
      <c r="C215" s="384"/>
      <c r="G215" s="385"/>
      <c r="H215" s="386"/>
      <c r="I215" s="385"/>
      <c r="J215" s="385"/>
      <c r="K215" s="385"/>
      <c r="L215" s="385"/>
      <c r="M215" s="385"/>
    </row>
    <row r="216" spans="1:13" x14ac:dyDescent="0.25">
      <c r="B216" s="570"/>
      <c r="C216" s="384"/>
      <c r="G216" s="385"/>
      <c r="H216" s="386"/>
      <c r="I216" s="385"/>
      <c r="J216" s="385"/>
      <c r="K216" s="385"/>
      <c r="L216" s="385"/>
      <c r="M216" s="385"/>
    </row>
    <row r="217" spans="1:13" x14ac:dyDescent="0.25">
      <c r="C217" s="384"/>
      <c r="G217" s="385"/>
      <c r="H217" s="386"/>
      <c r="I217" s="385"/>
      <c r="J217" s="385"/>
      <c r="K217" s="385"/>
      <c r="L217" s="385"/>
      <c r="M217" s="385"/>
    </row>
    <row r="218" spans="1:13" x14ac:dyDescent="0.25">
      <c r="B218" s="385"/>
      <c r="C218" s="384"/>
      <c r="G218" s="385"/>
      <c r="H218" s="386"/>
      <c r="I218" s="385"/>
      <c r="J218" s="385"/>
      <c r="K218" s="385"/>
      <c r="L218" s="385"/>
      <c r="M218" s="385"/>
    </row>
    <row r="219" spans="1:13" x14ac:dyDescent="0.25">
      <c r="B219" s="385"/>
      <c r="C219" s="384"/>
      <c r="G219" s="385"/>
      <c r="H219" s="386"/>
      <c r="I219" s="385"/>
      <c r="J219" s="385"/>
      <c r="K219" s="385"/>
      <c r="L219" s="385"/>
      <c r="M219" s="385"/>
    </row>
    <row r="220" spans="1:13" x14ac:dyDescent="0.25">
      <c r="B220" s="385"/>
      <c r="C220" s="384"/>
      <c r="G220" s="385"/>
      <c r="H220" s="386"/>
      <c r="I220" s="385"/>
      <c r="J220" s="385"/>
      <c r="K220" s="385"/>
      <c r="L220" s="385"/>
      <c r="M220" s="385"/>
    </row>
    <row r="221" spans="1:13" x14ac:dyDescent="0.25">
      <c r="B221" s="385"/>
      <c r="C221" s="384"/>
      <c r="G221" s="385"/>
      <c r="H221" s="386"/>
      <c r="I221" s="385"/>
      <c r="J221" s="385"/>
      <c r="K221" s="385"/>
      <c r="L221" s="385"/>
      <c r="M221" s="385"/>
    </row>
    <row r="222" spans="1:13" x14ac:dyDescent="0.25">
      <c r="C222" s="384"/>
      <c r="G222" s="385"/>
      <c r="H222" s="386"/>
      <c r="I222" s="385"/>
      <c r="J222" s="385"/>
      <c r="K222" s="385"/>
      <c r="L222" s="385"/>
      <c r="M222" s="385"/>
    </row>
    <row r="223" spans="1:13" x14ac:dyDescent="0.25">
      <c r="B223" s="385"/>
      <c r="C223" s="384"/>
      <c r="G223" s="385"/>
      <c r="H223" s="386"/>
      <c r="I223" s="385"/>
      <c r="J223" s="385"/>
      <c r="K223" s="385"/>
      <c r="L223" s="385"/>
      <c r="M223" s="385"/>
    </row>
    <row r="224" spans="1:13" x14ac:dyDescent="0.25">
      <c r="B224" s="385"/>
      <c r="C224" s="384"/>
      <c r="G224" s="385"/>
      <c r="H224" s="386"/>
      <c r="I224" s="385"/>
      <c r="J224" s="385"/>
      <c r="K224" s="385"/>
      <c r="L224" s="385"/>
      <c r="M224" s="385"/>
    </row>
    <row r="225" spans="2:13" x14ac:dyDescent="0.25">
      <c r="B225" s="385"/>
      <c r="C225" s="384"/>
      <c r="G225" s="385"/>
      <c r="H225" s="386"/>
      <c r="I225" s="385"/>
      <c r="J225" s="385"/>
      <c r="K225" s="385"/>
      <c r="L225" s="385"/>
      <c r="M225" s="385"/>
    </row>
    <row r="226" spans="2:13" x14ac:dyDescent="0.25">
      <c r="B226" s="570"/>
      <c r="C226" s="384"/>
      <c r="G226" s="385"/>
      <c r="H226" s="386"/>
      <c r="I226" s="385"/>
      <c r="J226" s="385"/>
      <c r="K226" s="385"/>
      <c r="L226" s="385"/>
      <c r="M226" s="385"/>
    </row>
    <row r="227" spans="2:13" x14ac:dyDescent="0.25">
      <c r="B227" s="385"/>
      <c r="C227" s="384"/>
      <c r="G227" s="385"/>
      <c r="H227" s="386"/>
      <c r="I227" s="385"/>
      <c r="J227" s="385"/>
      <c r="K227" s="385"/>
      <c r="L227" s="385"/>
      <c r="M227" s="385"/>
    </row>
    <row r="228" spans="2:13" x14ac:dyDescent="0.25">
      <c r="B228" s="385"/>
      <c r="C228" s="384"/>
      <c r="G228" s="385"/>
      <c r="H228" s="386"/>
      <c r="I228" s="385"/>
      <c r="J228" s="385"/>
      <c r="K228" s="385"/>
      <c r="L228" s="385"/>
      <c r="M228" s="385"/>
    </row>
    <row r="229" spans="2:13" x14ac:dyDescent="0.25">
      <c r="B229" s="385"/>
      <c r="C229" s="384"/>
      <c r="G229" s="385"/>
      <c r="H229" s="386"/>
      <c r="I229" s="385"/>
      <c r="J229" s="385"/>
      <c r="K229" s="385"/>
      <c r="L229" s="385"/>
      <c r="M229" s="385"/>
    </row>
    <row r="230" spans="2:13" x14ac:dyDescent="0.25">
      <c r="B230" s="385"/>
      <c r="C230" s="384"/>
      <c r="G230" s="385"/>
      <c r="H230" s="386"/>
      <c r="I230" s="385"/>
      <c r="J230" s="385"/>
      <c r="K230" s="385"/>
      <c r="L230" s="385"/>
      <c r="M230" s="385"/>
    </row>
    <row r="231" spans="2:13" x14ac:dyDescent="0.25">
      <c r="B231" s="385"/>
      <c r="C231" s="384"/>
      <c r="G231" s="385"/>
      <c r="H231" s="386"/>
      <c r="I231" s="385"/>
      <c r="J231" s="385"/>
      <c r="K231" s="385"/>
      <c r="L231" s="385"/>
      <c r="M231" s="385"/>
    </row>
    <row r="232" spans="2:13" x14ac:dyDescent="0.25">
      <c r="B232" s="385"/>
      <c r="C232" s="384"/>
      <c r="G232" s="385"/>
      <c r="H232" s="386"/>
      <c r="I232" s="385"/>
      <c r="J232" s="385"/>
      <c r="K232" s="385"/>
      <c r="L232" s="385"/>
      <c r="M232" s="385"/>
    </row>
    <row r="233" spans="2:13" x14ac:dyDescent="0.25">
      <c r="B233" s="385"/>
      <c r="C233" s="384"/>
      <c r="G233" s="385"/>
      <c r="H233" s="386"/>
      <c r="I233" s="385"/>
      <c r="J233" s="385"/>
      <c r="K233" s="385"/>
      <c r="L233" s="385"/>
      <c r="M233" s="385"/>
    </row>
    <row r="234" spans="2:13" x14ac:dyDescent="0.25">
      <c r="B234" s="385"/>
      <c r="C234" s="384"/>
      <c r="G234" s="385"/>
      <c r="H234" s="386"/>
      <c r="I234" s="385"/>
      <c r="J234" s="385"/>
      <c r="K234" s="385"/>
      <c r="L234" s="385"/>
      <c r="M234" s="385"/>
    </row>
    <row r="235" spans="2:13" x14ac:dyDescent="0.25">
      <c r="B235" s="379"/>
      <c r="C235" s="384"/>
      <c r="G235" s="385"/>
      <c r="H235" s="386"/>
      <c r="I235" s="385"/>
      <c r="J235" s="385"/>
      <c r="K235" s="385"/>
      <c r="L235" s="385"/>
      <c r="M235" s="385"/>
    </row>
    <row r="236" spans="2:13" x14ac:dyDescent="0.25">
      <c r="C236" s="384"/>
      <c r="G236" s="385"/>
      <c r="H236" s="386"/>
      <c r="I236" s="385"/>
      <c r="J236" s="385"/>
      <c r="K236" s="385"/>
      <c r="L236" s="385"/>
      <c r="M236" s="385"/>
    </row>
    <row r="237" spans="2:13" x14ac:dyDescent="0.25">
      <c r="B237" s="379"/>
      <c r="C237" s="384"/>
      <c r="G237" s="385"/>
      <c r="H237" s="386"/>
      <c r="I237" s="385"/>
      <c r="J237" s="385"/>
      <c r="K237" s="385"/>
      <c r="L237" s="385"/>
      <c r="M237" s="385"/>
    </row>
    <row r="238" spans="2:13" x14ac:dyDescent="0.25">
      <c r="C238" s="384"/>
      <c r="G238" s="385"/>
      <c r="H238" s="386"/>
      <c r="I238" s="385"/>
      <c r="J238" s="385"/>
      <c r="K238" s="385"/>
      <c r="L238" s="385"/>
      <c r="M238" s="385"/>
    </row>
    <row r="239" spans="2:13" x14ac:dyDescent="0.25">
      <c r="B239" s="385"/>
      <c r="C239" s="384"/>
      <c r="G239" s="385"/>
      <c r="H239" s="386"/>
      <c r="I239" s="385"/>
      <c r="J239" s="385"/>
      <c r="K239" s="385"/>
      <c r="L239" s="385"/>
      <c r="M239" s="385"/>
    </row>
    <row r="240" spans="2:13" x14ac:dyDescent="0.25">
      <c r="B240" s="385"/>
      <c r="C240" s="384"/>
      <c r="G240" s="385"/>
      <c r="H240" s="386"/>
      <c r="I240" s="385"/>
      <c r="J240" s="385"/>
      <c r="K240" s="385"/>
      <c r="L240" s="385"/>
      <c r="M240" s="385"/>
    </row>
    <row r="241" spans="1:13" x14ac:dyDescent="0.25">
      <c r="B241" s="385"/>
      <c r="C241" s="384"/>
      <c r="G241" s="385"/>
      <c r="H241" s="386"/>
      <c r="I241" s="385"/>
      <c r="J241" s="385"/>
      <c r="K241" s="385"/>
      <c r="L241" s="385"/>
      <c r="M241" s="385"/>
    </row>
    <row r="242" spans="1:13" x14ac:dyDescent="0.25">
      <c r="B242" s="379"/>
      <c r="C242" s="384"/>
      <c r="G242" s="385"/>
      <c r="H242" s="386"/>
      <c r="I242" s="385"/>
      <c r="J242" s="385"/>
      <c r="K242" s="385"/>
      <c r="L242" s="385"/>
      <c r="M242" s="385"/>
    </row>
    <row r="243" spans="1:13" x14ac:dyDescent="0.25">
      <c r="C243" s="384"/>
      <c r="G243" s="385"/>
      <c r="H243" s="386"/>
      <c r="I243" s="385"/>
      <c r="J243" s="385"/>
      <c r="K243" s="385"/>
      <c r="L243" s="385"/>
      <c r="M243" s="385"/>
    </row>
    <row r="244" spans="1:13" x14ac:dyDescent="0.25">
      <c r="B244" s="385"/>
      <c r="C244" s="384"/>
      <c r="G244" s="385"/>
      <c r="H244" s="386"/>
      <c r="I244" s="385"/>
      <c r="J244" s="385"/>
      <c r="K244" s="385"/>
      <c r="L244" s="385"/>
      <c r="M244" s="385"/>
    </row>
    <row r="245" spans="1:13" x14ac:dyDescent="0.25">
      <c r="B245" s="385"/>
      <c r="C245" s="384"/>
      <c r="G245" s="385"/>
      <c r="H245" s="386"/>
      <c r="I245" s="385"/>
      <c r="J245" s="385"/>
      <c r="K245" s="385"/>
      <c r="L245" s="385"/>
      <c r="M245" s="385"/>
    </row>
    <row r="246" spans="1:13" x14ac:dyDescent="0.25">
      <c r="B246" s="379"/>
      <c r="C246" s="384"/>
      <c r="G246" s="385"/>
      <c r="H246" s="386"/>
      <c r="I246" s="385"/>
      <c r="J246" s="385"/>
      <c r="K246" s="385"/>
      <c r="L246" s="385"/>
      <c r="M246" s="385"/>
    </row>
    <row r="247" spans="1:13" x14ac:dyDescent="0.25">
      <c r="C247" s="384"/>
      <c r="G247" s="385"/>
      <c r="H247" s="386"/>
      <c r="I247" s="385"/>
      <c r="J247" s="385"/>
      <c r="K247" s="385"/>
      <c r="L247" s="385"/>
      <c r="M247" s="385"/>
    </row>
    <row r="248" spans="1:13" x14ac:dyDescent="0.25">
      <c r="B248" s="570"/>
      <c r="C248" s="390"/>
      <c r="G248" s="385"/>
      <c r="H248" s="386"/>
      <c r="I248" s="385"/>
      <c r="J248" s="385"/>
      <c r="K248" s="385"/>
      <c r="L248" s="385"/>
      <c r="M248" s="385"/>
    </row>
    <row r="249" spans="1:13" x14ac:dyDescent="0.25">
      <c r="B249" s="379"/>
      <c r="C249" s="384"/>
      <c r="G249" s="385"/>
      <c r="H249" s="386"/>
      <c r="I249" s="385"/>
      <c r="J249" s="385"/>
      <c r="K249" s="385"/>
      <c r="L249" s="385"/>
      <c r="M249" s="385"/>
    </row>
    <row r="250" spans="1:13" x14ac:dyDescent="0.25">
      <c r="B250" s="379"/>
      <c r="C250" s="384"/>
      <c r="G250" s="385"/>
      <c r="H250" s="386"/>
      <c r="I250" s="385"/>
      <c r="J250" s="385"/>
      <c r="K250" s="385"/>
      <c r="L250" s="385"/>
      <c r="M250" s="385"/>
    </row>
    <row r="251" spans="1:13" x14ac:dyDescent="0.25">
      <c r="C251" s="390"/>
      <c r="G251" s="385"/>
      <c r="H251" s="386"/>
      <c r="I251" s="385"/>
      <c r="J251" s="385"/>
      <c r="K251" s="385"/>
      <c r="L251" s="385"/>
      <c r="M251" s="385"/>
    </row>
    <row r="252" spans="1:13" x14ac:dyDescent="0.25">
      <c r="G252" s="385"/>
      <c r="H252" s="386"/>
      <c r="I252" s="385"/>
      <c r="J252" s="385"/>
      <c r="K252" s="385"/>
      <c r="L252" s="385"/>
      <c r="M252" s="385"/>
    </row>
    <row r="253" spans="1:13" x14ac:dyDescent="0.25">
      <c r="K253" s="391"/>
      <c r="L253" s="391"/>
      <c r="M253" s="391"/>
    </row>
    <row r="256" spans="1:13" x14ac:dyDescent="0.25">
      <c r="A256" s="381"/>
      <c r="C256" s="381"/>
      <c r="D256" s="787"/>
      <c r="E256" s="382"/>
    </row>
    <row r="257" spans="2:13" x14ac:dyDescent="0.25">
      <c r="B257" s="385"/>
      <c r="C257" s="384"/>
      <c r="D257" s="786"/>
      <c r="E257" s="380"/>
      <c r="G257" s="385"/>
      <c r="H257" s="386"/>
      <c r="I257" s="385"/>
      <c r="J257" s="385"/>
      <c r="K257" s="385"/>
      <c r="L257" s="385"/>
      <c r="M257" s="385"/>
    </row>
    <row r="258" spans="2:13" x14ac:dyDescent="0.25">
      <c r="B258" s="385"/>
      <c r="C258" s="384"/>
      <c r="D258" s="786"/>
      <c r="E258" s="380"/>
      <c r="F258" s="380"/>
      <c r="G258" s="387"/>
      <c r="H258" s="569"/>
      <c r="I258" s="387"/>
      <c r="J258" s="387"/>
      <c r="K258" s="387"/>
      <c r="L258" s="387"/>
      <c r="M258" s="387"/>
    </row>
    <row r="259" spans="2:13" x14ac:dyDescent="0.25">
      <c r="B259" s="385"/>
      <c r="C259" s="384"/>
      <c r="G259" s="385"/>
      <c r="H259" s="386"/>
      <c r="I259" s="385"/>
      <c r="J259" s="385"/>
      <c r="K259" s="385"/>
      <c r="L259" s="385"/>
      <c r="M259" s="385"/>
    </row>
    <row r="260" spans="2:13" x14ac:dyDescent="0.25">
      <c r="B260" s="385"/>
      <c r="C260" s="384"/>
      <c r="G260" s="385"/>
      <c r="H260" s="386"/>
      <c r="I260" s="385"/>
      <c r="J260" s="385"/>
      <c r="K260" s="385"/>
      <c r="L260" s="385"/>
      <c r="M260" s="385"/>
    </row>
    <row r="261" spans="2:13" x14ac:dyDescent="0.25">
      <c r="B261" s="385"/>
      <c r="C261" s="384"/>
      <c r="G261" s="385"/>
      <c r="H261" s="386"/>
      <c r="I261" s="385"/>
      <c r="J261" s="385"/>
      <c r="K261" s="385"/>
      <c r="L261" s="385"/>
      <c r="M261" s="385"/>
    </row>
    <row r="262" spans="2:13" x14ac:dyDescent="0.25">
      <c r="B262" s="385"/>
      <c r="C262" s="384"/>
      <c r="G262" s="385"/>
      <c r="H262" s="386"/>
      <c r="I262" s="385"/>
      <c r="J262" s="385"/>
      <c r="K262" s="385"/>
      <c r="L262" s="385"/>
      <c r="M262" s="385"/>
    </row>
    <row r="263" spans="2:13" x14ac:dyDescent="0.25">
      <c r="B263" s="570"/>
      <c r="C263" s="384"/>
      <c r="G263" s="385"/>
      <c r="H263" s="386"/>
      <c r="I263" s="385"/>
      <c r="J263" s="385"/>
      <c r="K263" s="385"/>
      <c r="L263" s="385"/>
      <c r="M263" s="385"/>
    </row>
    <row r="264" spans="2:13" x14ac:dyDescent="0.25">
      <c r="C264" s="384"/>
      <c r="G264" s="385"/>
      <c r="H264" s="386"/>
      <c r="I264" s="385"/>
      <c r="J264" s="385"/>
      <c r="K264" s="385"/>
      <c r="L264" s="385"/>
      <c r="M264" s="385"/>
    </row>
    <row r="265" spans="2:13" x14ac:dyDescent="0.25">
      <c r="B265" s="385"/>
      <c r="C265" s="384"/>
      <c r="G265" s="385"/>
      <c r="H265" s="386"/>
      <c r="I265" s="385"/>
      <c r="J265" s="385"/>
      <c r="K265" s="385"/>
      <c r="L265" s="385"/>
      <c r="M265" s="385"/>
    </row>
    <row r="266" spans="2:13" x14ac:dyDescent="0.25">
      <c r="B266" s="385"/>
      <c r="C266" s="384"/>
      <c r="G266" s="385"/>
      <c r="H266" s="386"/>
      <c r="I266" s="385"/>
      <c r="J266" s="385"/>
      <c r="K266" s="385"/>
      <c r="L266" s="385"/>
      <c r="M266" s="385"/>
    </row>
    <row r="267" spans="2:13" x14ac:dyDescent="0.25">
      <c r="B267" s="385"/>
      <c r="C267" s="384"/>
      <c r="G267" s="385"/>
      <c r="H267" s="386"/>
      <c r="I267" s="385"/>
      <c r="J267" s="385"/>
      <c r="K267" s="385"/>
      <c r="L267" s="385"/>
      <c r="M267" s="385"/>
    </row>
    <row r="268" spans="2:13" x14ac:dyDescent="0.25">
      <c r="B268" s="385"/>
      <c r="C268" s="384"/>
      <c r="G268" s="385"/>
      <c r="H268" s="386"/>
      <c r="I268" s="385"/>
      <c r="J268" s="385"/>
      <c r="K268" s="385"/>
      <c r="L268" s="385"/>
      <c r="M268" s="385"/>
    </row>
    <row r="269" spans="2:13" x14ac:dyDescent="0.25">
      <c r="C269" s="384"/>
      <c r="G269" s="385"/>
      <c r="H269" s="386"/>
      <c r="I269" s="385"/>
      <c r="J269" s="385"/>
      <c r="K269" s="385"/>
      <c r="L269" s="385"/>
      <c r="M269" s="385"/>
    </row>
    <row r="270" spans="2:13" x14ac:dyDescent="0.25">
      <c r="B270" s="385"/>
      <c r="C270" s="384"/>
      <c r="G270" s="385"/>
      <c r="H270" s="386"/>
      <c r="I270" s="385"/>
      <c r="J270" s="385"/>
      <c r="K270" s="385"/>
      <c r="L270" s="385"/>
      <c r="M270" s="385"/>
    </row>
    <row r="271" spans="2:13" x14ac:dyDescent="0.25">
      <c r="B271" s="385"/>
      <c r="C271" s="384"/>
      <c r="G271" s="385"/>
      <c r="H271" s="386"/>
      <c r="I271" s="385"/>
      <c r="J271" s="385"/>
      <c r="K271" s="385"/>
      <c r="L271" s="385"/>
      <c r="M271" s="385"/>
    </row>
    <row r="272" spans="2:13" x14ac:dyDescent="0.25">
      <c r="B272" s="385"/>
      <c r="C272" s="384"/>
      <c r="G272" s="385"/>
      <c r="H272" s="386"/>
      <c r="I272" s="385"/>
      <c r="J272" s="385"/>
      <c r="K272" s="385"/>
      <c r="L272" s="385"/>
      <c r="M272" s="385"/>
    </row>
    <row r="273" spans="2:13" x14ac:dyDescent="0.25">
      <c r="B273" s="570"/>
      <c r="C273" s="384"/>
      <c r="G273" s="385"/>
      <c r="H273" s="386"/>
      <c r="I273" s="385"/>
      <c r="J273" s="385"/>
      <c r="K273" s="385"/>
      <c r="L273" s="385"/>
      <c r="M273" s="385"/>
    </row>
    <row r="274" spans="2:13" x14ac:dyDescent="0.25">
      <c r="B274" s="385"/>
      <c r="C274" s="384"/>
      <c r="G274" s="385"/>
      <c r="H274" s="386"/>
      <c r="I274" s="385"/>
      <c r="J274" s="385"/>
      <c r="K274" s="385"/>
      <c r="L274" s="385"/>
      <c r="M274" s="385"/>
    </row>
    <row r="275" spans="2:13" x14ac:dyDescent="0.25">
      <c r="B275" s="385"/>
      <c r="C275" s="384"/>
      <c r="G275" s="385"/>
      <c r="H275" s="386"/>
      <c r="I275" s="385"/>
      <c r="J275" s="385"/>
      <c r="K275" s="385"/>
      <c r="L275" s="385"/>
      <c r="M275" s="385"/>
    </row>
    <row r="276" spans="2:13" x14ac:dyDescent="0.25">
      <c r="B276" s="385"/>
      <c r="C276" s="384"/>
      <c r="G276" s="385"/>
      <c r="H276" s="386"/>
      <c r="I276" s="385"/>
      <c r="J276" s="385"/>
      <c r="K276" s="385"/>
      <c r="L276" s="385"/>
      <c r="M276" s="385"/>
    </row>
    <row r="277" spans="2:13" x14ac:dyDescent="0.25">
      <c r="B277" s="385"/>
      <c r="C277" s="384"/>
      <c r="G277" s="385"/>
      <c r="H277" s="386"/>
      <c r="I277" s="385"/>
      <c r="J277" s="385"/>
      <c r="K277" s="385"/>
      <c r="L277" s="385"/>
      <c r="M277" s="385"/>
    </row>
    <row r="278" spans="2:13" x14ac:dyDescent="0.25">
      <c r="B278" s="385"/>
      <c r="C278" s="384"/>
      <c r="G278" s="385"/>
      <c r="H278" s="386"/>
      <c r="I278" s="385"/>
      <c r="J278" s="385"/>
      <c r="K278" s="385"/>
      <c r="L278" s="385"/>
      <c r="M278" s="385"/>
    </row>
    <row r="279" spans="2:13" x14ac:dyDescent="0.25">
      <c r="B279" s="385"/>
      <c r="C279" s="384"/>
      <c r="G279" s="385"/>
      <c r="H279" s="386"/>
      <c r="I279" s="385"/>
      <c r="J279" s="385"/>
      <c r="K279" s="385"/>
      <c r="L279" s="385"/>
      <c r="M279" s="385"/>
    </row>
    <row r="280" spans="2:13" x14ac:dyDescent="0.25">
      <c r="B280" s="385"/>
      <c r="C280" s="384"/>
      <c r="G280" s="385"/>
      <c r="H280" s="386"/>
      <c r="I280" s="385"/>
      <c r="J280" s="385"/>
      <c r="K280" s="385"/>
      <c r="L280" s="385"/>
      <c r="M280" s="385"/>
    </row>
    <row r="281" spans="2:13" x14ac:dyDescent="0.25">
      <c r="B281" s="385"/>
      <c r="C281" s="384"/>
      <c r="G281" s="385"/>
      <c r="H281" s="386"/>
      <c r="I281" s="385"/>
      <c r="J281" s="385"/>
      <c r="K281" s="385"/>
      <c r="L281" s="385"/>
      <c r="M281" s="385"/>
    </row>
    <row r="282" spans="2:13" x14ac:dyDescent="0.25">
      <c r="B282" s="379"/>
      <c r="C282" s="384"/>
      <c r="G282" s="385"/>
      <c r="H282" s="386"/>
      <c r="I282" s="385"/>
      <c r="J282" s="385"/>
      <c r="K282" s="385"/>
      <c r="L282" s="385"/>
      <c r="M282" s="385"/>
    </row>
    <row r="283" spans="2:13" x14ac:dyDescent="0.25">
      <c r="C283" s="384"/>
      <c r="G283" s="385"/>
      <c r="H283" s="386"/>
      <c r="I283" s="385"/>
      <c r="J283" s="385"/>
      <c r="K283" s="385"/>
      <c r="L283" s="385"/>
      <c r="M283" s="385"/>
    </row>
    <row r="284" spans="2:13" x14ac:dyDescent="0.25">
      <c r="B284" s="379"/>
      <c r="C284" s="384"/>
      <c r="G284" s="385"/>
      <c r="H284" s="386"/>
      <c r="I284" s="385"/>
      <c r="J284" s="385"/>
      <c r="K284" s="385"/>
      <c r="L284" s="385"/>
      <c r="M284" s="385"/>
    </row>
    <row r="285" spans="2:13" x14ac:dyDescent="0.25">
      <c r="C285" s="384"/>
      <c r="G285" s="385"/>
      <c r="H285" s="386"/>
      <c r="I285" s="385"/>
      <c r="J285" s="385"/>
      <c r="K285" s="385"/>
      <c r="L285" s="385"/>
      <c r="M285" s="385"/>
    </row>
    <row r="286" spans="2:13" x14ac:dyDescent="0.25">
      <c r="B286" s="385"/>
      <c r="C286" s="384"/>
      <c r="G286" s="385"/>
      <c r="H286" s="386"/>
      <c r="I286" s="385"/>
      <c r="J286" s="385"/>
      <c r="K286" s="385"/>
      <c r="L286" s="385"/>
      <c r="M286" s="385"/>
    </row>
    <row r="287" spans="2:13" x14ac:dyDescent="0.25">
      <c r="B287" s="385"/>
      <c r="C287" s="384"/>
      <c r="G287" s="385"/>
      <c r="H287" s="386"/>
      <c r="I287" s="385"/>
      <c r="J287" s="385"/>
      <c r="K287" s="385"/>
      <c r="L287" s="385"/>
      <c r="M287" s="385"/>
    </row>
    <row r="288" spans="2:13" x14ac:dyDescent="0.25">
      <c r="B288" s="385"/>
      <c r="C288" s="384"/>
      <c r="G288" s="385"/>
      <c r="H288" s="386"/>
      <c r="I288" s="385"/>
      <c r="J288" s="385"/>
      <c r="K288" s="385"/>
      <c r="L288" s="385"/>
      <c r="M288" s="385"/>
    </row>
    <row r="289" spans="2:14" x14ac:dyDescent="0.25">
      <c r="B289" s="379"/>
      <c r="C289" s="384"/>
      <c r="G289" s="385"/>
      <c r="H289" s="386"/>
      <c r="I289" s="385"/>
      <c r="J289" s="385"/>
      <c r="K289" s="385"/>
      <c r="L289" s="385"/>
      <c r="M289" s="385"/>
    </row>
    <row r="290" spans="2:14" x14ac:dyDescent="0.25">
      <c r="C290" s="384"/>
      <c r="G290" s="385"/>
      <c r="H290" s="386"/>
      <c r="I290" s="385"/>
      <c r="J290" s="385"/>
      <c r="K290" s="385"/>
      <c r="L290" s="385"/>
      <c r="M290" s="385"/>
    </row>
    <row r="291" spans="2:14" x14ac:dyDescent="0.25">
      <c r="B291" s="385"/>
      <c r="C291" s="384"/>
      <c r="G291" s="385"/>
      <c r="H291" s="386"/>
      <c r="I291" s="385"/>
      <c r="J291" s="385"/>
      <c r="K291" s="385"/>
      <c r="L291" s="385"/>
      <c r="M291" s="385"/>
    </row>
    <row r="292" spans="2:14" x14ac:dyDescent="0.25">
      <c r="B292" s="385"/>
      <c r="C292" s="384"/>
      <c r="G292" s="385"/>
      <c r="H292" s="386"/>
      <c r="I292" s="385"/>
      <c r="J292" s="385"/>
      <c r="K292" s="385"/>
      <c r="L292" s="385"/>
      <c r="M292" s="385"/>
    </row>
    <row r="293" spans="2:14" x14ac:dyDescent="0.25">
      <c r="B293" s="379"/>
      <c r="C293" s="384"/>
      <c r="G293" s="385"/>
      <c r="H293" s="386"/>
      <c r="I293" s="385"/>
      <c r="J293" s="385"/>
      <c r="K293" s="385"/>
      <c r="L293" s="385"/>
      <c r="M293" s="385"/>
    </row>
    <row r="294" spans="2:14" x14ac:dyDescent="0.25">
      <c r="C294" s="384"/>
      <c r="G294" s="385"/>
      <c r="H294" s="386"/>
      <c r="I294" s="385"/>
      <c r="J294" s="385"/>
      <c r="K294" s="385"/>
      <c r="L294" s="385"/>
      <c r="M294" s="385"/>
    </row>
    <row r="295" spans="2:14" x14ac:dyDescent="0.25">
      <c r="B295" s="570"/>
      <c r="C295" s="390"/>
      <c r="G295" s="385"/>
      <c r="H295" s="386"/>
      <c r="I295" s="385"/>
      <c r="J295" s="385"/>
      <c r="K295" s="385"/>
      <c r="L295" s="385"/>
      <c r="M295" s="385"/>
    </row>
    <row r="296" spans="2:14" x14ac:dyDescent="0.25">
      <c r="B296" s="379"/>
      <c r="C296" s="384"/>
      <c r="G296" s="385"/>
      <c r="H296" s="386"/>
      <c r="I296" s="385"/>
      <c r="J296" s="385"/>
      <c r="K296" s="385"/>
      <c r="L296" s="385"/>
      <c r="M296" s="385"/>
    </row>
    <row r="297" spans="2:14" x14ac:dyDescent="0.25">
      <c r="B297" s="379"/>
      <c r="C297" s="384"/>
      <c r="G297" s="385"/>
      <c r="H297" s="386"/>
      <c r="I297" s="385"/>
      <c r="J297" s="385"/>
      <c r="K297" s="385"/>
      <c r="L297" s="385"/>
      <c r="M297" s="385"/>
    </row>
    <row r="298" spans="2:14" x14ac:dyDescent="0.25">
      <c r="C298" s="390"/>
      <c r="G298" s="385"/>
      <c r="H298" s="386"/>
      <c r="I298" s="385"/>
      <c r="J298" s="385"/>
      <c r="K298" s="385"/>
      <c r="L298" s="385"/>
      <c r="M298" s="385"/>
    </row>
    <row r="299" spans="2:14" x14ac:dyDescent="0.25">
      <c r="G299" s="385"/>
      <c r="H299" s="386"/>
      <c r="I299" s="385"/>
      <c r="J299" s="385"/>
      <c r="K299" s="385"/>
      <c r="L299" s="385"/>
      <c r="M299" s="385"/>
    </row>
    <row r="300" spans="2:14" x14ac:dyDescent="0.25">
      <c r="K300" s="391"/>
      <c r="L300" s="391"/>
      <c r="M300" s="391"/>
      <c r="N300" s="392"/>
    </row>
    <row r="301" spans="2:14" x14ac:dyDescent="0.25">
      <c r="K301" s="391"/>
      <c r="L301" s="391"/>
      <c r="M301" s="391"/>
      <c r="N301" s="392"/>
    </row>
    <row r="302" spans="2:14" x14ac:dyDescent="0.25">
      <c r="K302" s="391"/>
      <c r="L302" s="391"/>
      <c r="M302" s="391"/>
      <c r="N302" s="392"/>
    </row>
    <row r="303" spans="2:14" x14ac:dyDescent="0.25">
      <c r="K303" s="391"/>
      <c r="L303" s="391"/>
      <c r="M303" s="391"/>
      <c r="N303" s="392"/>
    </row>
    <row r="304" spans="2:14" x14ac:dyDescent="0.25">
      <c r="K304" s="391"/>
      <c r="L304" s="391"/>
      <c r="M304" s="391"/>
      <c r="N304" s="392"/>
    </row>
    <row r="305" spans="11:13" x14ac:dyDescent="0.25">
      <c r="K305" s="391"/>
      <c r="L305" s="391"/>
      <c r="M305" s="391"/>
    </row>
  </sheetData>
  <autoFilter ref="A9:H27"/>
  <mergeCells count="12">
    <mergeCell ref="A27:D27"/>
    <mergeCell ref="G27:H27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hyperlinks>
    <hyperlink ref="J13" r:id="rId1" display="https://www.emag.ro/televizor-led-smart-lg-80-cm-full-hd-32lh6047/pd/DLBKC3BBM/"/>
  </hyperlinks>
  <pageMargins left="0.7" right="0.7" top="0.75" bottom="0.75" header="0.3" footer="0.3"/>
  <pageSetup paperSize="9" scale="72" fitToHeight="0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C000"/>
    <pageSetUpPr fitToPage="1"/>
  </sheetPr>
  <dimension ref="B1:K37"/>
  <sheetViews>
    <sheetView view="pageBreakPreview" zoomScale="80" zoomScaleNormal="100" zoomScaleSheetLayoutView="80" workbookViewId="0">
      <selection activeCell="J12" sqref="J12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x14ac:dyDescent="0.25">
      <c r="B2" s="396" t="s">
        <v>1786</v>
      </c>
      <c r="C2" s="411"/>
      <c r="D2" s="36"/>
      <c r="E2" s="36"/>
      <c r="F2" s="36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DG!C63</f>
        <v>OBIECT 4 - Dotări Specifice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84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 t="e">
        <f>#REF!</f>
        <v>#REF!</v>
      </c>
      <c r="E22" s="430" t="e">
        <f t="shared" si="2"/>
        <v>#REF!</v>
      </c>
      <c r="F22" s="834" t="e">
        <f t="shared" si="3"/>
        <v>#REF!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f>'04-LU'!F18</f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f>'04-LD'!F36</f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</row>
    <row r="32" spans="2:9" ht="13.9" x14ac:dyDescent="0.3">
      <c r="B32" s="41"/>
      <c r="C32" s="42"/>
      <c r="D32" s="43"/>
      <c r="E32" s="43"/>
      <c r="F32" s="43"/>
      <c r="G32" s="32"/>
    </row>
    <row r="33" spans="2:11" x14ac:dyDescent="0.2">
      <c r="B33" s="41"/>
      <c r="C33" s="42"/>
      <c r="D33" s="43"/>
      <c r="E33" s="43"/>
      <c r="F33" s="44" t="s">
        <v>82</v>
      </c>
      <c r="G33" s="32"/>
      <c r="J33" s="813" t="e">
        <f>D31/DG!E129/2310</f>
        <v>#REF!</v>
      </c>
      <c r="K33" s="814" t="s">
        <v>1764</v>
      </c>
    </row>
    <row r="34" spans="2:11" x14ac:dyDescent="0.25">
      <c r="B34" s="41"/>
      <c r="C34" s="42"/>
      <c r="D34" s="43"/>
      <c r="E34" s="808"/>
      <c r="F34" s="45"/>
    </row>
    <row r="35" spans="2:11" x14ac:dyDescent="0.2">
      <c r="B35" s="41"/>
      <c r="C35" s="42"/>
      <c r="D35" s="43"/>
      <c r="E35" s="43"/>
      <c r="F35" s="44" t="s">
        <v>1516</v>
      </c>
    </row>
    <row r="36" spans="2:11" x14ac:dyDescent="0.25">
      <c r="B36" s="41"/>
      <c r="C36" s="42"/>
      <c r="D36" s="43"/>
      <c r="E36" s="43"/>
      <c r="F36" s="45" t="s">
        <v>83</v>
      </c>
    </row>
    <row r="37" spans="2:11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8">
    <mergeCell ref="B30:C30"/>
    <mergeCell ref="B31:C31"/>
    <mergeCell ref="B4:F5"/>
    <mergeCell ref="B8:B9"/>
    <mergeCell ref="C8:C9"/>
    <mergeCell ref="B11:F11"/>
    <mergeCell ref="B23:C23"/>
    <mergeCell ref="B25:C25"/>
  </mergeCells>
  <pageMargins left="0.7" right="0.7" top="0.75" bottom="0.75" header="0.3" footer="0.3"/>
  <pageSetup paperSize="9" scale="84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  <pageSetUpPr fitToPage="1"/>
  </sheetPr>
  <dimension ref="A1:R289"/>
  <sheetViews>
    <sheetView view="pageBreakPreview" zoomScale="80" zoomScaleNormal="70" zoomScaleSheetLayoutView="80" workbookViewId="0">
      <selection activeCell="J17" sqref="J17"/>
    </sheetView>
  </sheetViews>
  <sheetFormatPr defaultColWidth="10.7109375" defaultRowHeight="12.75" x14ac:dyDescent="0.25"/>
  <cols>
    <col min="1" max="1" width="7.85546875" style="360" customWidth="1"/>
    <col min="2" max="2" width="38" style="373" customWidth="1"/>
    <col min="3" max="3" width="8.42578125" style="374" customWidth="1"/>
    <col min="4" max="4" width="8.42578125" style="774" customWidth="1"/>
    <col min="5" max="5" width="15.7109375" style="375" customWidth="1"/>
    <col min="6" max="6" width="17.85546875" style="375" customWidth="1"/>
    <col min="7" max="7" width="31.85546875" style="360" hidden="1" customWidth="1"/>
    <col min="8" max="8" width="33.28515625" style="360" customWidth="1"/>
    <col min="9" max="9" width="33.28515625" style="360" hidden="1" customWidth="1"/>
    <col min="10" max="10" width="11.28515625" style="360" customWidth="1"/>
    <col min="11" max="257" width="10.7109375" style="360"/>
    <col min="258" max="258" width="13.140625" style="360" customWidth="1"/>
    <col min="259" max="259" width="38" style="360" customWidth="1"/>
    <col min="260" max="260" width="8.42578125" style="360" customWidth="1"/>
    <col min="261" max="261" width="15.7109375" style="360" customWidth="1"/>
    <col min="262" max="262" width="18.28515625" style="360" customWidth="1"/>
    <col min="263" max="263" width="17.85546875" style="360" customWidth="1"/>
    <col min="264" max="264" width="0" style="360" hidden="1" customWidth="1"/>
    <col min="265" max="265" width="33.28515625" style="360" customWidth="1"/>
    <col min="266" max="513" width="10.7109375" style="360"/>
    <col min="514" max="514" width="13.140625" style="360" customWidth="1"/>
    <col min="515" max="515" width="38" style="360" customWidth="1"/>
    <col min="516" max="516" width="8.42578125" style="360" customWidth="1"/>
    <col min="517" max="517" width="15.7109375" style="360" customWidth="1"/>
    <col min="518" max="518" width="18.28515625" style="360" customWidth="1"/>
    <col min="519" max="519" width="17.85546875" style="360" customWidth="1"/>
    <col min="520" max="520" width="0" style="360" hidden="1" customWidth="1"/>
    <col min="521" max="521" width="33.28515625" style="360" customWidth="1"/>
    <col min="522" max="769" width="10.7109375" style="360"/>
    <col min="770" max="770" width="13.140625" style="360" customWidth="1"/>
    <col min="771" max="771" width="38" style="360" customWidth="1"/>
    <col min="772" max="772" width="8.42578125" style="360" customWidth="1"/>
    <col min="773" max="773" width="15.7109375" style="360" customWidth="1"/>
    <col min="774" max="774" width="18.28515625" style="360" customWidth="1"/>
    <col min="775" max="775" width="17.85546875" style="360" customWidth="1"/>
    <col min="776" max="776" width="0" style="360" hidden="1" customWidth="1"/>
    <col min="777" max="777" width="33.28515625" style="360" customWidth="1"/>
    <col min="778" max="1025" width="10.7109375" style="360"/>
    <col min="1026" max="1026" width="13.140625" style="360" customWidth="1"/>
    <col min="1027" max="1027" width="38" style="360" customWidth="1"/>
    <col min="1028" max="1028" width="8.42578125" style="360" customWidth="1"/>
    <col min="1029" max="1029" width="15.7109375" style="360" customWidth="1"/>
    <col min="1030" max="1030" width="18.28515625" style="360" customWidth="1"/>
    <col min="1031" max="1031" width="17.85546875" style="360" customWidth="1"/>
    <col min="1032" max="1032" width="0" style="360" hidden="1" customWidth="1"/>
    <col min="1033" max="1033" width="33.28515625" style="360" customWidth="1"/>
    <col min="1034" max="1281" width="10.7109375" style="360"/>
    <col min="1282" max="1282" width="13.140625" style="360" customWidth="1"/>
    <col min="1283" max="1283" width="38" style="360" customWidth="1"/>
    <col min="1284" max="1284" width="8.42578125" style="360" customWidth="1"/>
    <col min="1285" max="1285" width="15.7109375" style="360" customWidth="1"/>
    <col min="1286" max="1286" width="18.28515625" style="360" customWidth="1"/>
    <col min="1287" max="1287" width="17.85546875" style="360" customWidth="1"/>
    <col min="1288" max="1288" width="0" style="360" hidden="1" customWidth="1"/>
    <col min="1289" max="1289" width="33.28515625" style="360" customWidth="1"/>
    <col min="1290" max="1537" width="10.7109375" style="360"/>
    <col min="1538" max="1538" width="13.140625" style="360" customWidth="1"/>
    <col min="1539" max="1539" width="38" style="360" customWidth="1"/>
    <col min="1540" max="1540" width="8.42578125" style="360" customWidth="1"/>
    <col min="1541" max="1541" width="15.7109375" style="360" customWidth="1"/>
    <col min="1542" max="1542" width="18.28515625" style="360" customWidth="1"/>
    <col min="1543" max="1543" width="17.85546875" style="360" customWidth="1"/>
    <col min="1544" max="1544" width="0" style="360" hidden="1" customWidth="1"/>
    <col min="1545" max="1545" width="33.28515625" style="360" customWidth="1"/>
    <col min="1546" max="1793" width="10.7109375" style="360"/>
    <col min="1794" max="1794" width="13.140625" style="360" customWidth="1"/>
    <col min="1795" max="1795" width="38" style="360" customWidth="1"/>
    <col min="1796" max="1796" width="8.42578125" style="360" customWidth="1"/>
    <col min="1797" max="1797" width="15.7109375" style="360" customWidth="1"/>
    <col min="1798" max="1798" width="18.28515625" style="360" customWidth="1"/>
    <col min="1799" max="1799" width="17.85546875" style="360" customWidth="1"/>
    <col min="1800" max="1800" width="0" style="360" hidden="1" customWidth="1"/>
    <col min="1801" max="1801" width="33.28515625" style="360" customWidth="1"/>
    <col min="1802" max="2049" width="10.7109375" style="360"/>
    <col min="2050" max="2050" width="13.140625" style="360" customWidth="1"/>
    <col min="2051" max="2051" width="38" style="360" customWidth="1"/>
    <col min="2052" max="2052" width="8.42578125" style="360" customWidth="1"/>
    <col min="2053" max="2053" width="15.7109375" style="360" customWidth="1"/>
    <col min="2054" max="2054" width="18.28515625" style="360" customWidth="1"/>
    <col min="2055" max="2055" width="17.85546875" style="360" customWidth="1"/>
    <col min="2056" max="2056" width="0" style="360" hidden="1" customWidth="1"/>
    <col min="2057" max="2057" width="33.28515625" style="360" customWidth="1"/>
    <col min="2058" max="2305" width="10.7109375" style="360"/>
    <col min="2306" max="2306" width="13.140625" style="360" customWidth="1"/>
    <col min="2307" max="2307" width="38" style="360" customWidth="1"/>
    <col min="2308" max="2308" width="8.42578125" style="360" customWidth="1"/>
    <col min="2309" max="2309" width="15.7109375" style="360" customWidth="1"/>
    <col min="2310" max="2310" width="18.28515625" style="360" customWidth="1"/>
    <col min="2311" max="2311" width="17.85546875" style="360" customWidth="1"/>
    <col min="2312" max="2312" width="0" style="360" hidden="1" customWidth="1"/>
    <col min="2313" max="2313" width="33.28515625" style="360" customWidth="1"/>
    <col min="2314" max="2561" width="10.7109375" style="360"/>
    <col min="2562" max="2562" width="13.140625" style="360" customWidth="1"/>
    <col min="2563" max="2563" width="38" style="360" customWidth="1"/>
    <col min="2564" max="2564" width="8.42578125" style="360" customWidth="1"/>
    <col min="2565" max="2565" width="15.7109375" style="360" customWidth="1"/>
    <col min="2566" max="2566" width="18.28515625" style="360" customWidth="1"/>
    <col min="2567" max="2567" width="17.85546875" style="360" customWidth="1"/>
    <col min="2568" max="2568" width="0" style="360" hidden="1" customWidth="1"/>
    <col min="2569" max="2569" width="33.28515625" style="360" customWidth="1"/>
    <col min="2570" max="2817" width="10.7109375" style="360"/>
    <col min="2818" max="2818" width="13.140625" style="360" customWidth="1"/>
    <col min="2819" max="2819" width="38" style="360" customWidth="1"/>
    <col min="2820" max="2820" width="8.42578125" style="360" customWidth="1"/>
    <col min="2821" max="2821" width="15.7109375" style="360" customWidth="1"/>
    <col min="2822" max="2822" width="18.28515625" style="360" customWidth="1"/>
    <col min="2823" max="2823" width="17.85546875" style="360" customWidth="1"/>
    <col min="2824" max="2824" width="0" style="360" hidden="1" customWidth="1"/>
    <col min="2825" max="2825" width="33.28515625" style="360" customWidth="1"/>
    <col min="2826" max="3073" width="10.7109375" style="360"/>
    <col min="3074" max="3074" width="13.140625" style="360" customWidth="1"/>
    <col min="3075" max="3075" width="38" style="360" customWidth="1"/>
    <col min="3076" max="3076" width="8.42578125" style="360" customWidth="1"/>
    <col min="3077" max="3077" width="15.7109375" style="360" customWidth="1"/>
    <col min="3078" max="3078" width="18.28515625" style="360" customWidth="1"/>
    <col min="3079" max="3079" width="17.85546875" style="360" customWidth="1"/>
    <col min="3080" max="3080" width="0" style="360" hidden="1" customWidth="1"/>
    <col min="3081" max="3081" width="33.28515625" style="360" customWidth="1"/>
    <col min="3082" max="3329" width="10.7109375" style="360"/>
    <col min="3330" max="3330" width="13.140625" style="360" customWidth="1"/>
    <col min="3331" max="3331" width="38" style="360" customWidth="1"/>
    <col min="3332" max="3332" width="8.42578125" style="360" customWidth="1"/>
    <col min="3333" max="3333" width="15.7109375" style="360" customWidth="1"/>
    <col min="3334" max="3334" width="18.28515625" style="360" customWidth="1"/>
    <col min="3335" max="3335" width="17.85546875" style="360" customWidth="1"/>
    <col min="3336" max="3336" width="0" style="360" hidden="1" customWidth="1"/>
    <col min="3337" max="3337" width="33.28515625" style="360" customWidth="1"/>
    <col min="3338" max="3585" width="10.7109375" style="360"/>
    <col min="3586" max="3586" width="13.140625" style="360" customWidth="1"/>
    <col min="3587" max="3587" width="38" style="360" customWidth="1"/>
    <col min="3588" max="3588" width="8.42578125" style="360" customWidth="1"/>
    <col min="3589" max="3589" width="15.7109375" style="360" customWidth="1"/>
    <col min="3590" max="3590" width="18.28515625" style="360" customWidth="1"/>
    <col min="3591" max="3591" width="17.85546875" style="360" customWidth="1"/>
    <col min="3592" max="3592" width="0" style="360" hidden="1" customWidth="1"/>
    <col min="3593" max="3593" width="33.28515625" style="360" customWidth="1"/>
    <col min="3594" max="3841" width="10.7109375" style="360"/>
    <col min="3842" max="3842" width="13.140625" style="360" customWidth="1"/>
    <col min="3843" max="3843" width="38" style="360" customWidth="1"/>
    <col min="3844" max="3844" width="8.42578125" style="360" customWidth="1"/>
    <col min="3845" max="3845" width="15.7109375" style="360" customWidth="1"/>
    <col min="3846" max="3846" width="18.28515625" style="360" customWidth="1"/>
    <col min="3847" max="3847" width="17.85546875" style="360" customWidth="1"/>
    <col min="3848" max="3848" width="0" style="360" hidden="1" customWidth="1"/>
    <col min="3849" max="3849" width="33.28515625" style="360" customWidth="1"/>
    <col min="3850" max="4097" width="10.7109375" style="360"/>
    <col min="4098" max="4098" width="13.140625" style="360" customWidth="1"/>
    <col min="4099" max="4099" width="38" style="360" customWidth="1"/>
    <col min="4100" max="4100" width="8.42578125" style="360" customWidth="1"/>
    <col min="4101" max="4101" width="15.7109375" style="360" customWidth="1"/>
    <col min="4102" max="4102" width="18.28515625" style="360" customWidth="1"/>
    <col min="4103" max="4103" width="17.85546875" style="360" customWidth="1"/>
    <col min="4104" max="4104" width="0" style="360" hidden="1" customWidth="1"/>
    <col min="4105" max="4105" width="33.28515625" style="360" customWidth="1"/>
    <col min="4106" max="4353" width="10.7109375" style="360"/>
    <col min="4354" max="4354" width="13.140625" style="360" customWidth="1"/>
    <col min="4355" max="4355" width="38" style="360" customWidth="1"/>
    <col min="4356" max="4356" width="8.42578125" style="360" customWidth="1"/>
    <col min="4357" max="4357" width="15.7109375" style="360" customWidth="1"/>
    <col min="4358" max="4358" width="18.28515625" style="360" customWidth="1"/>
    <col min="4359" max="4359" width="17.85546875" style="360" customWidth="1"/>
    <col min="4360" max="4360" width="0" style="360" hidden="1" customWidth="1"/>
    <col min="4361" max="4361" width="33.28515625" style="360" customWidth="1"/>
    <col min="4362" max="4609" width="10.7109375" style="360"/>
    <col min="4610" max="4610" width="13.140625" style="360" customWidth="1"/>
    <col min="4611" max="4611" width="38" style="360" customWidth="1"/>
    <col min="4612" max="4612" width="8.42578125" style="360" customWidth="1"/>
    <col min="4613" max="4613" width="15.7109375" style="360" customWidth="1"/>
    <col min="4614" max="4614" width="18.28515625" style="360" customWidth="1"/>
    <col min="4615" max="4615" width="17.85546875" style="360" customWidth="1"/>
    <col min="4616" max="4616" width="0" style="360" hidden="1" customWidth="1"/>
    <col min="4617" max="4617" width="33.28515625" style="360" customWidth="1"/>
    <col min="4618" max="4865" width="10.7109375" style="360"/>
    <col min="4866" max="4866" width="13.140625" style="360" customWidth="1"/>
    <col min="4867" max="4867" width="38" style="360" customWidth="1"/>
    <col min="4868" max="4868" width="8.42578125" style="360" customWidth="1"/>
    <col min="4869" max="4869" width="15.7109375" style="360" customWidth="1"/>
    <col min="4870" max="4870" width="18.28515625" style="360" customWidth="1"/>
    <col min="4871" max="4871" width="17.85546875" style="360" customWidth="1"/>
    <col min="4872" max="4872" width="0" style="360" hidden="1" customWidth="1"/>
    <col min="4873" max="4873" width="33.28515625" style="360" customWidth="1"/>
    <col min="4874" max="5121" width="10.7109375" style="360"/>
    <col min="5122" max="5122" width="13.140625" style="360" customWidth="1"/>
    <col min="5123" max="5123" width="38" style="360" customWidth="1"/>
    <col min="5124" max="5124" width="8.42578125" style="360" customWidth="1"/>
    <col min="5125" max="5125" width="15.7109375" style="360" customWidth="1"/>
    <col min="5126" max="5126" width="18.28515625" style="360" customWidth="1"/>
    <col min="5127" max="5127" width="17.85546875" style="360" customWidth="1"/>
    <col min="5128" max="5128" width="0" style="360" hidden="1" customWidth="1"/>
    <col min="5129" max="5129" width="33.28515625" style="360" customWidth="1"/>
    <col min="5130" max="5377" width="10.7109375" style="360"/>
    <col min="5378" max="5378" width="13.140625" style="360" customWidth="1"/>
    <col min="5379" max="5379" width="38" style="360" customWidth="1"/>
    <col min="5380" max="5380" width="8.42578125" style="360" customWidth="1"/>
    <col min="5381" max="5381" width="15.7109375" style="360" customWidth="1"/>
    <col min="5382" max="5382" width="18.28515625" style="360" customWidth="1"/>
    <col min="5383" max="5383" width="17.85546875" style="360" customWidth="1"/>
    <col min="5384" max="5384" width="0" style="360" hidden="1" customWidth="1"/>
    <col min="5385" max="5385" width="33.28515625" style="360" customWidth="1"/>
    <col min="5386" max="5633" width="10.7109375" style="360"/>
    <col min="5634" max="5634" width="13.140625" style="360" customWidth="1"/>
    <col min="5635" max="5635" width="38" style="360" customWidth="1"/>
    <col min="5636" max="5636" width="8.42578125" style="360" customWidth="1"/>
    <col min="5637" max="5637" width="15.7109375" style="360" customWidth="1"/>
    <col min="5638" max="5638" width="18.28515625" style="360" customWidth="1"/>
    <col min="5639" max="5639" width="17.85546875" style="360" customWidth="1"/>
    <col min="5640" max="5640" width="0" style="360" hidden="1" customWidth="1"/>
    <col min="5641" max="5641" width="33.28515625" style="360" customWidth="1"/>
    <col min="5642" max="5889" width="10.7109375" style="360"/>
    <col min="5890" max="5890" width="13.140625" style="360" customWidth="1"/>
    <col min="5891" max="5891" width="38" style="360" customWidth="1"/>
    <col min="5892" max="5892" width="8.42578125" style="360" customWidth="1"/>
    <col min="5893" max="5893" width="15.7109375" style="360" customWidth="1"/>
    <col min="5894" max="5894" width="18.28515625" style="360" customWidth="1"/>
    <col min="5895" max="5895" width="17.85546875" style="360" customWidth="1"/>
    <col min="5896" max="5896" width="0" style="360" hidden="1" customWidth="1"/>
    <col min="5897" max="5897" width="33.28515625" style="360" customWidth="1"/>
    <col min="5898" max="6145" width="10.7109375" style="360"/>
    <col min="6146" max="6146" width="13.140625" style="360" customWidth="1"/>
    <col min="6147" max="6147" width="38" style="360" customWidth="1"/>
    <col min="6148" max="6148" width="8.42578125" style="360" customWidth="1"/>
    <col min="6149" max="6149" width="15.7109375" style="360" customWidth="1"/>
    <col min="6150" max="6150" width="18.28515625" style="360" customWidth="1"/>
    <col min="6151" max="6151" width="17.85546875" style="360" customWidth="1"/>
    <col min="6152" max="6152" width="0" style="360" hidden="1" customWidth="1"/>
    <col min="6153" max="6153" width="33.28515625" style="360" customWidth="1"/>
    <col min="6154" max="6401" width="10.7109375" style="360"/>
    <col min="6402" max="6402" width="13.140625" style="360" customWidth="1"/>
    <col min="6403" max="6403" width="38" style="360" customWidth="1"/>
    <col min="6404" max="6404" width="8.42578125" style="360" customWidth="1"/>
    <col min="6405" max="6405" width="15.7109375" style="360" customWidth="1"/>
    <col min="6406" max="6406" width="18.28515625" style="360" customWidth="1"/>
    <col min="6407" max="6407" width="17.85546875" style="360" customWidth="1"/>
    <col min="6408" max="6408" width="0" style="360" hidden="1" customWidth="1"/>
    <col min="6409" max="6409" width="33.28515625" style="360" customWidth="1"/>
    <col min="6410" max="6657" width="10.7109375" style="360"/>
    <col min="6658" max="6658" width="13.140625" style="360" customWidth="1"/>
    <col min="6659" max="6659" width="38" style="360" customWidth="1"/>
    <col min="6660" max="6660" width="8.42578125" style="360" customWidth="1"/>
    <col min="6661" max="6661" width="15.7109375" style="360" customWidth="1"/>
    <col min="6662" max="6662" width="18.28515625" style="360" customWidth="1"/>
    <col min="6663" max="6663" width="17.85546875" style="360" customWidth="1"/>
    <col min="6664" max="6664" width="0" style="360" hidden="1" customWidth="1"/>
    <col min="6665" max="6665" width="33.28515625" style="360" customWidth="1"/>
    <col min="6666" max="6913" width="10.7109375" style="360"/>
    <col min="6914" max="6914" width="13.140625" style="360" customWidth="1"/>
    <col min="6915" max="6915" width="38" style="360" customWidth="1"/>
    <col min="6916" max="6916" width="8.42578125" style="360" customWidth="1"/>
    <col min="6917" max="6917" width="15.7109375" style="360" customWidth="1"/>
    <col min="6918" max="6918" width="18.28515625" style="360" customWidth="1"/>
    <col min="6919" max="6919" width="17.85546875" style="360" customWidth="1"/>
    <col min="6920" max="6920" width="0" style="360" hidden="1" customWidth="1"/>
    <col min="6921" max="6921" width="33.28515625" style="360" customWidth="1"/>
    <col min="6922" max="7169" width="10.7109375" style="360"/>
    <col min="7170" max="7170" width="13.140625" style="360" customWidth="1"/>
    <col min="7171" max="7171" width="38" style="360" customWidth="1"/>
    <col min="7172" max="7172" width="8.42578125" style="360" customWidth="1"/>
    <col min="7173" max="7173" width="15.7109375" style="360" customWidth="1"/>
    <col min="7174" max="7174" width="18.28515625" style="360" customWidth="1"/>
    <col min="7175" max="7175" width="17.85546875" style="360" customWidth="1"/>
    <col min="7176" max="7176" width="0" style="360" hidden="1" customWidth="1"/>
    <col min="7177" max="7177" width="33.28515625" style="360" customWidth="1"/>
    <col min="7178" max="7425" width="10.7109375" style="360"/>
    <col min="7426" max="7426" width="13.140625" style="360" customWidth="1"/>
    <col min="7427" max="7427" width="38" style="360" customWidth="1"/>
    <col min="7428" max="7428" width="8.42578125" style="360" customWidth="1"/>
    <col min="7429" max="7429" width="15.7109375" style="360" customWidth="1"/>
    <col min="7430" max="7430" width="18.28515625" style="360" customWidth="1"/>
    <col min="7431" max="7431" width="17.85546875" style="360" customWidth="1"/>
    <col min="7432" max="7432" width="0" style="360" hidden="1" customWidth="1"/>
    <col min="7433" max="7433" width="33.28515625" style="360" customWidth="1"/>
    <col min="7434" max="7681" width="10.7109375" style="360"/>
    <col min="7682" max="7682" width="13.140625" style="360" customWidth="1"/>
    <col min="7683" max="7683" width="38" style="360" customWidth="1"/>
    <col min="7684" max="7684" width="8.42578125" style="360" customWidth="1"/>
    <col min="7685" max="7685" width="15.7109375" style="360" customWidth="1"/>
    <col min="7686" max="7686" width="18.28515625" style="360" customWidth="1"/>
    <col min="7687" max="7687" width="17.85546875" style="360" customWidth="1"/>
    <col min="7688" max="7688" width="0" style="360" hidden="1" customWidth="1"/>
    <col min="7689" max="7689" width="33.28515625" style="360" customWidth="1"/>
    <col min="7690" max="7937" width="10.7109375" style="360"/>
    <col min="7938" max="7938" width="13.140625" style="360" customWidth="1"/>
    <col min="7939" max="7939" width="38" style="360" customWidth="1"/>
    <col min="7940" max="7940" width="8.42578125" style="360" customWidth="1"/>
    <col min="7941" max="7941" width="15.7109375" style="360" customWidth="1"/>
    <col min="7942" max="7942" width="18.28515625" style="360" customWidth="1"/>
    <col min="7943" max="7943" width="17.85546875" style="360" customWidth="1"/>
    <col min="7944" max="7944" width="0" style="360" hidden="1" customWidth="1"/>
    <col min="7945" max="7945" width="33.28515625" style="360" customWidth="1"/>
    <col min="7946" max="8193" width="10.7109375" style="360"/>
    <col min="8194" max="8194" width="13.140625" style="360" customWidth="1"/>
    <col min="8195" max="8195" width="38" style="360" customWidth="1"/>
    <col min="8196" max="8196" width="8.42578125" style="360" customWidth="1"/>
    <col min="8197" max="8197" width="15.7109375" style="360" customWidth="1"/>
    <col min="8198" max="8198" width="18.28515625" style="360" customWidth="1"/>
    <col min="8199" max="8199" width="17.85546875" style="360" customWidth="1"/>
    <col min="8200" max="8200" width="0" style="360" hidden="1" customWidth="1"/>
    <col min="8201" max="8201" width="33.28515625" style="360" customWidth="1"/>
    <col min="8202" max="8449" width="10.7109375" style="360"/>
    <col min="8450" max="8450" width="13.140625" style="360" customWidth="1"/>
    <col min="8451" max="8451" width="38" style="360" customWidth="1"/>
    <col min="8452" max="8452" width="8.42578125" style="360" customWidth="1"/>
    <col min="8453" max="8453" width="15.7109375" style="360" customWidth="1"/>
    <col min="8454" max="8454" width="18.28515625" style="360" customWidth="1"/>
    <col min="8455" max="8455" width="17.85546875" style="360" customWidth="1"/>
    <col min="8456" max="8456" width="0" style="360" hidden="1" customWidth="1"/>
    <col min="8457" max="8457" width="33.28515625" style="360" customWidth="1"/>
    <col min="8458" max="8705" width="10.7109375" style="360"/>
    <col min="8706" max="8706" width="13.140625" style="360" customWidth="1"/>
    <col min="8707" max="8707" width="38" style="360" customWidth="1"/>
    <col min="8708" max="8708" width="8.42578125" style="360" customWidth="1"/>
    <col min="8709" max="8709" width="15.7109375" style="360" customWidth="1"/>
    <col min="8710" max="8710" width="18.28515625" style="360" customWidth="1"/>
    <col min="8711" max="8711" width="17.85546875" style="360" customWidth="1"/>
    <col min="8712" max="8712" width="0" style="360" hidden="1" customWidth="1"/>
    <col min="8713" max="8713" width="33.28515625" style="360" customWidth="1"/>
    <col min="8714" max="8961" width="10.7109375" style="360"/>
    <col min="8962" max="8962" width="13.140625" style="360" customWidth="1"/>
    <col min="8963" max="8963" width="38" style="360" customWidth="1"/>
    <col min="8964" max="8964" width="8.42578125" style="360" customWidth="1"/>
    <col min="8965" max="8965" width="15.7109375" style="360" customWidth="1"/>
    <col min="8966" max="8966" width="18.28515625" style="360" customWidth="1"/>
    <col min="8967" max="8967" width="17.85546875" style="360" customWidth="1"/>
    <col min="8968" max="8968" width="0" style="360" hidden="1" customWidth="1"/>
    <col min="8969" max="8969" width="33.28515625" style="360" customWidth="1"/>
    <col min="8970" max="9217" width="10.7109375" style="360"/>
    <col min="9218" max="9218" width="13.140625" style="360" customWidth="1"/>
    <col min="9219" max="9219" width="38" style="360" customWidth="1"/>
    <col min="9220" max="9220" width="8.42578125" style="360" customWidth="1"/>
    <col min="9221" max="9221" width="15.7109375" style="360" customWidth="1"/>
    <col min="9222" max="9222" width="18.28515625" style="360" customWidth="1"/>
    <col min="9223" max="9223" width="17.85546875" style="360" customWidth="1"/>
    <col min="9224" max="9224" width="0" style="360" hidden="1" customWidth="1"/>
    <col min="9225" max="9225" width="33.28515625" style="360" customWidth="1"/>
    <col min="9226" max="9473" width="10.7109375" style="360"/>
    <col min="9474" max="9474" width="13.140625" style="360" customWidth="1"/>
    <col min="9475" max="9475" width="38" style="360" customWidth="1"/>
    <col min="9476" max="9476" width="8.42578125" style="360" customWidth="1"/>
    <col min="9477" max="9477" width="15.7109375" style="360" customWidth="1"/>
    <col min="9478" max="9478" width="18.28515625" style="360" customWidth="1"/>
    <col min="9479" max="9479" width="17.85546875" style="360" customWidth="1"/>
    <col min="9480" max="9480" width="0" style="360" hidden="1" customWidth="1"/>
    <col min="9481" max="9481" width="33.28515625" style="360" customWidth="1"/>
    <col min="9482" max="9729" width="10.7109375" style="360"/>
    <col min="9730" max="9730" width="13.140625" style="360" customWidth="1"/>
    <col min="9731" max="9731" width="38" style="360" customWidth="1"/>
    <col min="9732" max="9732" width="8.42578125" style="360" customWidth="1"/>
    <col min="9733" max="9733" width="15.7109375" style="360" customWidth="1"/>
    <col min="9734" max="9734" width="18.28515625" style="360" customWidth="1"/>
    <col min="9735" max="9735" width="17.85546875" style="360" customWidth="1"/>
    <col min="9736" max="9736" width="0" style="360" hidden="1" customWidth="1"/>
    <col min="9737" max="9737" width="33.28515625" style="360" customWidth="1"/>
    <col min="9738" max="9985" width="10.7109375" style="360"/>
    <col min="9986" max="9986" width="13.140625" style="360" customWidth="1"/>
    <col min="9987" max="9987" width="38" style="360" customWidth="1"/>
    <col min="9988" max="9988" width="8.42578125" style="360" customWidth="1"/>
    <col min="9989" max="9989" width="15.7109375" style="360" customWidth="1"/>
    <col min="9990" max="9990" width="18.28515625" style="360" customWidth="1"/>
    <col min="9991" max="9991" width="17.85546875" style="360" customWidth="1"/>
    <col min="9992" max="9992" width="0" style="360" hidden="1" customWidth="1"/>
    <col min="9993" max="9993" width="33.28515625" style="360" customWidth="1"/>
    <col min="9994" max="10241" width="10.7109375" style="360"/>
    <col min="10242" max="10242" width="13.140625" style="360" customWidth="1"/>
    <col min="10243" max="10243" width="38" style="360" customWidth="1"/>
    <col min="10244" max="10244" width="8.42578125" style="360" customWidth="1"/>
    <col min="10245" max="10245" width="15.7109375" style="360" customWidth="1"/>
    <col min="10246" max="10246" width="18.28515625" style="360" customWidth="1"/>
    <col min="10247" max="10247" width="17.85546875" style="360" customWidth="1"/>
    <col min="10248" max="10248" width="0" style="360" hidden="1" customWidth="1"/>
    <col min="10249" max="10249" width="33.28515625" style="360" customWidth="1"/>
    <col min="10250" max="10497" width="10.7109375" style="360"/>
    <col min="10498" max="10498" width="13.140625" style="360" customWidth="1"/>
    <col min="10499" max="10499" width="38" style="360" customWidth="1"/>
    <col min="10500" max="10500" width="8.42578125" style="360" customWidth="1"/>
    <col min="10501" max="10501" width="15.7109375" style="360" customWidth="1"/>
    <col min="10502" max="10502" width="18.28515625" style="360" customWidth="1"/>
    <col min="10503" max="10503" width="17.85546875" style="360" customWidth="1"/>
    <col min="10504" max="10504" width="0" style="360" hidden="1" customWidth="1"/>
    <col min="10505" max="10505" width="33.28515625" style="360" customWidth="1"/>
    <col min="10506" max="10753" width="10.7109375" style="360"/>
    <col min="10754" max="10754" width="13.140625" style="360" customWidth="1"/>
    <col min="10755" max="10755" width="38" style="360" customWidth="1"/>
    <col min="10756" max="10756" width="8.42578125" style="360" customWidth="1"/>
    <col min="10757" max="10757" width="15.7109375" style="360" customWidth="1"/>
    <col min="10758" max="10758" width="18.28515625" style="360" customWidth="1"/>
    <col min="10759" max="10759" width="17.85546875" style="360" customWidth="1"/>
    <col min="10760" max="10760" width="0" style="360" hidden="1" customWidth="1"/>
    <col min="10761" max="10761" width="33.28515625" style="360" customWidth="1"/>
    <col min="10762" max="11009" width="10.7109375" style="360"/>
    <col min="11010" max="11010" width="13.140625" style="360" customWidth="1"/>
    <col min="11011" max="11011" width="38" style="360" customWidth="1"/>
    <col min="11012" max="11012" width="8.42578125" style="360" customWidth="1"/>
    <col min="11013" max="11013" width="15.7109375" style="360" customWidth="1"/>
    <col min="11014" max="11014" width="18.28515625" style="360" customWidth="1"/>
    <col min="11015" max="11015" width="17.85546875" style="360" customWidth="1"/>
    <col min="11016" max="11016" width="0" style="360" hidden="1" customWidth="1"/>
    <col min="11017" max="11017" width="33.28515625" style="360" customWidth="1"/>
    <col min="11018" max="11265" width="10.7109375" style="360"/>
    <col min="11266" max="11266" width="13.140625" style="360" customWidth="1"/>
    <col min="11267" max="11267" width="38" style="360" customWidth="1"/>
    <col min="11268" max="11268" width="8.42578125" style="360" customWidth="1"/>
    <col min="11269" max="11269" width="15.7109375" style="360" customWidth="1"/>
    <col min="11270" max="11270" width="18.28515625" style="360" customWidth="1"/>
    <col min="11271" max="11271" width="17.85546875" style="360" customWidth="1"/>
    <col min="11272" max="11272" width="0" style="360" hidden="1" customWidth="1"/>
    <col min="11273" max="11273" width="33.28515625" style="360" customWidth="1"/>
    <col min="11274" max="11521" width="10.7109375" style="360"/>
    <col min="11522" max="11522" width="13.140625" style="360" customWidth="1"/>
    <col min="11523" max="11523" width="38" style="360" customWidth="1"/>
    <col min="11524" max="11524" width="8.42578125" style="360" customWidth="1"/>
    <col min="11525" max="11525" width="15.7109375" style="360" customWidth="1"/>
    <col min="11526" max="11526" width="18.28515625" style="360" customWidth="1"/>
    <col min="11527" max="11527" width="17.85546875" style="360" customWidth="1"/>
    <col min="11528" max="11528" width="0" style="360" hidden="1" customWidth="1"/>
    <col min="11529" max="11529" width="33.28515625" style="360" customWidth="1"/>
    <col min="11530" max="11777" width="10.7109375" style="360"/>
    <col min="11778" max="11778" width="13.140625" style="360" customWidth="1"/>
    <col min="11779" max="11779" width="38" style="360" customWidth="1"/>
    <col min="11780" max="11780" width="8.42578125" style="360" customWidth="1"/>
    <col min="11781" max="11781" width="15.7109375" style="360" customWidth="1"/>
    <col min="11782" max="11782" width="18.28515625" style="360" customWidth="1"/>
    <col min="11783" max="11783" width="17.85546875" style="360" customWidth="1"/>
    <col min="11784" max="11784" width="0" style="360" hidden="1" customWidth="1"/>
    <col min="11785" max="11785" width="33.28515625" style="360" customWidth="1"/>
    <col min="11786" max="12033" width="10.7109375" style="360"/>
    <col min="12034" max="12034" width="13.140625" style="360" customWidth="1"/>
    <col min="12035" max="12035" width="38" style="360" customWidth="1"/>
    <col min="12036" max="12036" width="8.42578125" style="360" customWidth="1"/>
    <col min="12037" max="12037" width="15.7109375" style="360" customWidth="1"/>
    <col min="12038" max="12038" width="18.28515625" style="360" customWidth="1"/>
    <col min="12039" max="12039" width="17.85546875" style="360" customWidth="1"/>
    <col min="12040" max="12040" width="0" style="360" hidden="1" customWidth="1"/>
    <col min="12041" max="12041" width="33.28515625" style="360" customWidth="1"/>
    <col min="12042" max="12289" width="10.7109375" style="360"/>
    <col min="12290" max="12290" width="13.140625" style="360" customWidth="1"/>
    <col min="12291" max="12291" width="38" style="360" customWidth="1"/>
    <col min="12292" max="12292" width="8.42578125" style="360" customWidth="1"/>
    <col min="12293" max="12293" width="15.7109375" style="360" customWidth="1"/>
    <col min="12294" max="12294" width="18.28515625" style="360" customWidth="1"/>
    <col min="12295" max="12295" width="17.85546875" style="360" customWidth="1"/>
    <col min="12296" max="12296" width="0" style="360" hidden="1" customWidth="1"/>
    <col min="12297" max="12297" width="33.28515625" style="360" customWidth="1"/>
    <col min="12298" max="12545" width="10.7109375" style="360"/>
    <col min="12546" max="12546" width="13.140625" style="360" customWidth="1"/>
    <col min="12547" max="12547" width="38" style="360" customWidth="1"/>
    <col min="12548" max="12548" width="8.42578125" style="360" customWidth="1"/>
    <col min="12549" max="12549" width="15.7109375" style="360" customWidth="1"/>
    <col min="12550" max="12550" width="18.28515625" style="360" customWidth="1"/>
    <col min="12551" max="12551" width="17.85546875" style="360" customWidth="1"/>
    <col min="12552" max="12552" width="0" style="360" hidden="1" customWidth="1"/>
    <col min="12553" max="12553" width="33.28515625" style="360" customWidth="1"/>
    <col min="12554" max="12801" width="10.7109375" style="360"/>
    <col min="12802" max="12802" width="13.140625" style="360" customWidth="1"/>
    <col min="12803" max="12803" width="38" style="360" customWidth="1"/>
    <col min="12804" max="12804" width="8.42578125" style="360" customWidth="1"/>
    <col min="12805" max="12805" width="15.7109375" style="360" customWidth="1"/>
    <col min="12806" max="12806" width="18.28515625" style="360" customWidth="1"/>
    <col min="12807" max="12807" width="17.85546875" style="360" customWidth="1"/>
    <col min="12808" max="12808" width="0" style="360" hidden="1" customWidth="1"/>
    <col min="12809" max="12809" width="33.28515625" style="360" customWidth="1"/>
    <col min="12810" max="13057" width="10.7109375" style="360"/>
    <col min="13058" max="13058" width="13.140625" style="360" customWidth="1"/>
    <col min="13059" max="13059" width="38" style="360" customWidth="1"/>
    <col min="13060" max="13060" width="8.42578125" style="360" customWidth="1"/>
    <col min="13061" max="13061" width="15.7109375" style="360" customWidth="1"/>
    <col min="13062" max="13062" width="18.28515625" style="360" customWidth="1"/>
    <col min="13063" max="13063" width="17.85546875" style="360" customWidth="1"/>
    <col min="13064" max="13064" width="0" style="360" hidden="1" customWidth="1"/>
    <col min="13065" max="13065" width="33.28515625" style="360" customWidth="1"/>
    <col min="13066" max="13313" width="10.7109375" style="360"/>
    <col min="13314" max="13314" width="13.140625" style="360" customWidth="1"/>
    <col min="13315" max="13315" width="38" style="360" customWidth="1"/>
    <col min="13316" max="13316" width="8.42578125" style="360" customWidth="1"/>
    <col min="13317" max="13317" width="15.7109375" style="360" customWidth="1"/>
    <col min="13318" max="13318" width="18.28515625" style="360" customWidth="1"/>
    <col min="13319" max="13319" width="17.85546875" style="360" customWidth="1"/>
    <col min="13320" max="13320" width="0" style="360" hidden="1" customWidth="1"/>
    <col min="13321" max="13321" width="33.28515625" style="360" customWidth="1"/>
    <col min="13322" max="13569" width="10.7109375" style="360"/>
    <col min="13570" max="13570" width="13.140625" style="360" customWidth="1"/>
    <col min="13571" max="13571" width="38" style="360" customWidth="1"/>
    <col min="13572" max="13572" width="8.42578125" style="360" customWidth="1"/>
    <col min="13573" max="13573" width="15.7109375" style="360" customWidth="1"/>
    <col min="13574" max="13574" width="18.28515625" style="360" customWidth="1"/>
    <col min="13575" max="13575" width="17.85546875" style="360" customWidth="1"/>
    <col min="13576" max="13576" width="0" style="360" hidden="1" customWidth="1"/>
    <col min="13577" max="13577" width="33.28515625" style="360" customWidth="1"/>
    <col min="13578" max="13825" width="10.7109375" style="360"/>
    <col min="13826" max="13826" width="13.140625" style="360" customWidth="1"/>
    <col min="13827" max="13827" width="38" style="360" customWidth="1"/>
    <col min="13828" max="13828" width="8.42578125" style="360" customWidth="1"/>
    <col min="13829" max="13829" width="15.7109375" style="360" customWidth="1"/>
    <col min="13830" max="13830" width="18.28515625" style="360" customWidth="1"/>
    <col min="13831" max="13831" width="17.85546875" style="360" customWidth="1"/>
    <col min="13832" max="13832" width="0" style="360" hidden="1" customWidth="1"/>
    <col min="13833" max="13833" width="33.28515625" style="360" customWidth="1"/>
    <col min="13834" max="14081" width="10.7109375" style="360"/>
    <col min="14082" max="14082" width="13.140625" style="360" customWidth="1"/>
    <col min="14083" max="14083" width="38" style="360" customWidth="1"/>
    <col min="14084" max="14084" width="8.42578125" style="360" customWidth="1"/>
    <col min="14085" max="14085" width="15.7109375" style="360" customWidth="1"/>
    <col min="14086" max="14086" width="18.28515625" style="360" customWidth="1"/>
    <col min="14087" max="14087" width="17.85546875" style="360" customWidth="1"/>
    <col min="14088" max="14088" width="0" style="360" hidden="1" customWidth="1"/>
    <col min="14089" max="14089" width="33.28515625" style="360" customWidth="1"/>
    <col min="14090" max="14337" width="10.7109375" style="360"/>
    <col min="14338" max="14338" width="13.140625" style="360" customWidth="1"/>
    <col min="14339" max="14339" width="38" style="360" customWidth="1"/>
    <col min="14340" max="14340" width="8.42578125" style="360" customWidth="1"/>
    <col min="14341" max="14341" width="15.7109375" style="360" customWidth="1"/>
    <col min="14342" max="14342" width="18.28515625" style="360" customWidth="1"/>
    <col min="14343" max="14343" width="17.85546875" style="360" customWidth="1"/>
    <col min="14344" max="14344" width="0" style="360" hidden="1" customWidth="1"/>
    <col min="14345" max="14345" width="33.28515625" style="360" customWidth="1"/>
    <col min="14346" max="14593" width="10.7109375" style="360"/>
    <col min="14594" max="14594" width="13.140625" style="360" customWidth="1"/>
    <col min="14595" max="14595" width="38" style="360" customWidth="1"/>
    <col min="14596" max="14596" width="8.42578125" style="360" customWidth="1"/>
    <col min="14597" max="14597" width="15.7109375" style="360" customWidth="1"/>
    <col min="14598" max="14598" width="18.28515625" style="360" customWidth="1"/>
    <col min="14599" max="14599" width="17.85546875" style="360" customWidth="1"/>
    <col min="14600" max="14600" width="0" style="360" hidden="1" customWidth="1"/>
    <col min="14601" max="14601" width="33.28515625" style="360" customWidth="1"/>
    <col min="14602" max="14849" width="10.7109375" style="360"/>
    <col min="14850" max="14850" width="13.140625" style="360" customWidth="1"/>
    <col min="14851" max="14851" width="38" style="360" customWidth="1"/>
    <col min="14852" max="14852" width="8.42578125" style="360" customWidth="1"/>
    <col min="14853" max="14853" width="15.7109375" style="360" customWidth="1"/>
    <col min="14854" max="14854" width="18.28515625" style="360" customWidth="1"/>
    <col min="14855" max="14855" width="17.85546875" style="360" customWidth="1"/>
    <col min="14856" max="14856" width="0" style="360" hidden="1" customWidth="1"/>
    <col min="14857" max="14857" width="33.28515625" style="360" customWidth="1"/>
    <col min="14858" max="15105" width="10.7109375" style="360"/>
    <col min="15106" max="15106" width="13.140625" style="360" customWidth="1"/>
    <col min="15107" max="15107" width="38" style="360" customWidth="1"/>
    <col min="15108" max="15108" width="8.42578125" style="360" customWidth="1"/>
    <col min="15109" max="15109" width="15.7109375" style="360" customWidth="1"/>
    <col min="15110" max="15110" width="18.28515625" style="360" customWidth="1"/>
    <col min="15111" max="15111" width="17.85546875" style="360" customWidth="1"/>
    <col min="15112" max="15112" width="0" style="360" hidden="1" customWidth="1"/>
    <col min="15113" max="15113" width="33.28515625" style="360" customWidth="1"/>
    <col min="15114" max="15361" width="10.7109375" style="360"/>
    <col min="15362" max="15362" width="13.140625" style="360" customWidth="1"/>
    <col min="15363" max="15363" width="38" style="360" customWidth="1"/>
    <col min="15364" max="15364" width="8.42578125" style="360" customWidth="1"/>
    <col min="15365" max="15365" width="15.7109375" style="360" customWidth="1"/>
    <col min="15366" max="15366" width="18.28515625" style="360" customWidth="1"/>
    <col min="15367" max="15367" width="17.85546875" style="360" customWidth="1"/>
    <col min="15368" max="15368" width="0" style="360" hidden="1" customWidth="1"/>
    <col min="15369" max="15369" width="33.28515625" style="360" customWidth="1"/>
    <col min="15370" max="15617" width="10.7109375" style="360"/>
    <col min="15618" max="15618" width="13.140625" style="360" customWidth="1"/>
    <col min="15619" max="15619" width="38" style="360" customWidth="1"/>
    <col min="15620" max="15620" width="8.42578125" style="360" customWidth="1"/>
    <col min="15621" max="15621" width="15.7109375" style="360" customWidth="1"/>
    <col min="15622" max="15622" width="18.28515625" style="360" customWidth="1"/>
    <col min="15623" max="15623" width="17.85546875" style="360" customWidth="1"/>
    <col min="15624" max="15624" width="0" style="360" hidden="1" customWidth="1"/>
    <col min="15625" max="15625" width="33.28515625" style="360" customWidth="1"/>
    <col min="15626" max="15873" width="10.7109375" style="360"/>
    <col min="15874" max="15874" width="13.140625" style="360" customWidth="1"/>
    <col min="15875" max="15875" width="38" style="360" customWidth="1"/>
    <col min="15876" max="15876" width="8.42578125" style="360" customWidth="1"/>
    <col min="15877" max="15877" width="15.7109375" style="360" customWidth="1"/>
    <col min="15878" max="15878" width="18.28515625" style="360" customWidth="1"/>
    <col min="15879" max="15879" width="17.85546875" style="360" customWidth="1"/>
    <col min="15880" max="15880" width="0" style="360" hidden="1" customWidth="1"/>
    <col min="15881" max="15881" width="33.28515625" style="360" customWidth="1"/>
    <col min="15882" max="16129" width="10.7109375" style="360"/>
    <col min="16130" max="16130" width="13.140625" style="360" customWidth="1"/>
    <col min="16131" max="16131" width="38" style="360" customWidth="1"/>
    <col min="16132" max="16132" width="8.42578125" style="360" customWidth="1"/>
    <col min="16133" max="16133" width="15.7109375" style="360" customWidth="1"/>
    <col min="16134" max="16134" width="18.28515625" style="360" customWidth="1"/>
    <col min="16135" max="16135" width="17.85546875" style="360" customWidth="1"/>
    <col min="16136" max="16136" width="0" style="360" hidden="1" customWidth="1"/>
    <col min="16137" max="16137" width="33.28515625" style="360" customWidth="1"/>
    <col min="16138" max="16384" width="10.7109375" style="360"/>
  </cols>
  <sheetData>
    <row r="1" spans="1:11" ht="13.9" x14ac:dyDescent="0.3">
      <c r="A1" s="547" t="str">
        <f>'04-DO'!B2</f>
        <v>PROIECT : Extindere infrastructură educațională – Centrul Școlar pentru Educație înclusivă „Constantin Pufan”</v>
      </c>
      <c r="B1" s="356"/>
      <c r="C1" s="357"/>
      <c r="D1" s="767"/>
      <c r="E1" s="358"/>
      <c r="F1" s="358"/>
      <c r="G1" s="359"/>
      <c r="H1" s="359"/>
      <c r="I1" s="359"/>
    </row>
    <row r="2" spans="1:11" ht="13.15" x14ac:dyDescent="0.3">
      <c r="A2" s="361"/>
      <c r="B2" s="356"/>
      <c r="C2" s="357"/>
      <c r="D2" s="767"/>
      <c r="E2" s="358"/>
      <c r="F2" s="358"/>
      <c r="G2" s="359"/>
      <c r="H2" s="359"/>
      <c r="I2" s="359"/>
    </row>
    <row r="3" spans="1:11" ht="13.15" x14ac:dyDescent="0.3">
      <c r="A3" s="359"/>
      <c r="B3" s="362"/>
      <c r="C3" s="357"/>
      <c r="D3" s="767"/>
      <c r="E3" s="358"/>
      <c r="F3" s="358"/>
      <c r="G3" s="359"/>
      <c r="H3" s="359"/>
      <c r="I3" s="359"/>
    </row>
    <row r="4" spans="1:11" ht="13.15" x14ac:dyDescent="0.3">
      <c r="A4" s="1445" t="s">
        <v>1178</v>
      </c>
      <c r="B4" s="1445"/>
      <c r="C4" s="1445"/>
      <c r="D4" s="1445"/>
      <c r="E4" s="1445"/>
      <c r="F4" s="1445"/>
      <c r="G4" s="1445"/>
      <c r="H4" s="1445"/>
      <c r="I4" s="828"/>
    </row>
    <row r="5" spans="1:11" ht="13.15" x14ac:dyDescent="0.3">
      <c r="A5" s="1445" t="s">
        <v>1450</v>
      </c>
      <c r="B5" s="1445"/>
      <c r="C5" s="1445"/>
      <c r="D5" s="1445"/>
      <c r="E5" s="1445"/>
      <c r="F5" s="1445"/>
      <c r="G5" s="1445"/>
      <c r="H5" s="1445"/>
      <c r="I5" s="828"/>
    </row>
    <row r="6" spans="1:11" ht="13.15" x14ac:dyDescent="0.3">
      <c r="A6" s="1445" t="str">
        <f>DG!C63</f>
        <v>OBIECT 4 - Dotări Specifice</v>
      </c>
      <c r="B6" s="1445"/>
      <c r="C6" s="1445"/>
      <c r="D6" s="1445"/>
      <c r="E6" s="1445"/>
      <c r="F6" s="1445"/>
      <c r="G6" s="1445"/>
      <c r="H6" s="1445"/>
      <c r="I6" s="548"/>
    </row>
    <row r="7" spans="1:11" ht="13.15" x14ac:dyDescent="0.3">
      <c r="A7" s="828"/>
      <c r="B7" s="828"/>
      <c r="C7" s="828"/>
      <c r="D7" s="548"/>
      <c r="E7" s="828"/>
      <c r="F7" s="828"/>
      <c r="G7" s="828"/>
      <c r="H7" s="828"/>
      <c r="I7" s="828"/>
    </row>
    <row r="8" spans="1:11" ht="13.15" x14ac:dyDescent="0.3">
      <c r="A8" s="359"/>
      <c r="B8" s="362"/>
      <c r="C8" s="357"/>
      <c r="D8" s="766">
        <v>1.1499999999999999</v>
      </c>
      <c r="E8" s="358"/>
      <c r="F8" s="358"/>
      <c r="G8" s="359"/>
      <c r="H8" s="359"/>
      <c r="I8" s="359"/>
    </row>
    <row r="9" spans="1:11" ht="25.5" x14ac:dyDescent="0.25">
      <c r="A9" s="1446" t="s">
        <v>1179</v>
      </c>
      <c r="B9" s="1446" t="s">
        <v>1180</v>
      </c>
      <c r="C9" s="1446" t="s">
        <v>1181</v>
      </c>
      <c r="D9" s="1447" t="s">
        <v>1182</v>
      </c>
      <c r="E9" s="1448" t="s">
        <v>1182</v>
      </c>
      <c r="F9" s="829" t="s">
        <v>1183</v>
      </c>
      <c r="G9" s="1446" t="s">
        <v>1184</v>
      </c>
      <c r="H9" s="1446" t="s">
        <v>1185</v>
      </c>
      <c r="I9" s="764" t="s">
        <v>1451</v>
      </c>
      <c r="K9" s="363"/>
    </row>
    <row r="10" spans="1:11" x14ac:dyDescent="0.25">
      <c r="A10" s="1446"/>
      <c r="B10" s="1446"/>
      <c r="C10" s="1446"/>
      <c r="D10" s="1447"/>
      <c r="E10" s="1448"/>
      <c r="F10" s="829" t="s">
        <v>1186</v>
      </c>
      <c r="G10" s="1446"/>
      <c r="H10" s="1446"/>
      <c r="I10" s="765"/>
      <c r="K10" s="363"/>
    </row>
    <row r="11" spans="1:11" ht="13.15" x14ac:dyDescent="0.3">
      <c r="A11" s="572">
        <v>1</v>
      </c>
      <c r="B11" s="572">
        <v>2</v>
      </c>
      <c r="C11" s="572">
        <v>3</v>
      </c>
      <c r="D11" s="768"/>
      <c r="E11" s="573">
        <v>4</v>
      </c>
      <c r="F11" s="573">
        <v>5</v>
      </c>
      <c r="G11" s="572">
        <v>7</v>
      </c>
      <c r="H11" s="572">
        <v>6</v>
      </c>
      <c r="I11" s="364"/>
    </row>
    <row r="12" spans="1:11" ht="13.15" x14ac:dyDescent="0.3">
      <c r="A12" s="816" t="s">
        <v>1457</v>
      </c>
      <c r="B12" s="565"/>
      <c r="C12" s="574"/>
      <c r="D12" s="772"/>
      <c r="E12" s="575"/>
      <c r="F12" s="575"/>
      <c r="G12" s="576"/>
      <c r="H12" s="577"/>
      <c r="I12" s="530"/>
    </row>
    <row r="13" spans="1:11" ht="26.45" x14ac:dyDescent="0.3">
      <c r="A13" s="366" t="s">
        <v>1458</v>
      </c>
      <c r="B13" s="535"/>
      <c r="C13" s="531">
        <v>0</v>
      </c>
      <c r="D13" s="770">
        <v>8280</v>
      </c>
      <c r="E13" s="369">
        <f>D13*D8</f>
        <v>9522</v>
      </c>
      <c r="F13" s="401">
        <f>E13*C13</f>
        <v>0</v>
      </c>
      <c r="G13" s="530"/>
      <c r="H13" s="530"/>
      <c r="I13" s="553" t="s">
        <v>1452</v>
      </c>
      <c r="K13" s="559"/>
    </row>
    <row r="14" spans="1:11" ht="14.45" x14ac:dyDescent="0.3">
      <c r="A14" s="366" t="s">
        <v>1459</v>
      </c>
      <c r="B14" s="555"/>
      <c r="C14" s="556"/>
      <c r="D14" s="771"/>
      <c r="E14" s="401"/>
      <c r="F14" s="401">
        <f t="shared" ref="F14:F17" si="0">E14*C14</f>
        <v>0</v>
      </c>
      <c r="G14" s="557"/>
      <c r="H14" s="557"/>
      <c r="I14" s="530"/>
      <c r="K14" s="559"/>
    </row>
    <row r="15" spans="1:11" ht="26.45" x14ac:dyDescent="0.3">
      <c r="A15" s="366" t="s">
        <v>1460</v>
      </c>
      <c r="B15" s="555"/>
      <c r="C15" s="556"/>
      <c r="D15" s="771"/>
      <c r="E15" s="401"/>
      <c r="F15" s="401">
        <f t="shared" si="0"/>
        <v>0</v>
      </c>
      <c r="G15" s="557"/>
      <c r="H15" s="557"/>
      <c r="I15" s="553" t="s">
        <v>1453</v>
      </c>
      <c r="K15" s="426"/>
    </row>
    <row r="16" spans="1:11" ht="26.45" x14ac:dyDescent="0.3">
      <c r="A16" s="366" t="s">
        <v>1461</v>
      </c>
      <c r="B16" s="555"/>
      <c r="C16" s="556"/>
      <c r="D16" s="771"/>
      <c r="E16" s="401"/>
      <c r="F16" s="401">
        <f t="shared" si="0"/>
        <v>0</v>
      </c>
      <c r="G16" s="557"/>
      <c r="H16" s="557"/>
      <c r="I16" s="553" t="s">
        <v>1453</v>
      </c>
      <c r="K16" s="426"/>
    </row>
    <row r="17" spans="1:17" ht="26.45" x14ac:dyDescent="0.3">
      <c r="A17" s="366" t="s">
        <v>1462</v>
      </c>
      <c r="B17" s="555"/>
      <c r="C17" s="556"/>
      <c r="D17" s="771"/>
      <c r="E17" s="401"/>
      <c r="F17" s="401">
        <f t="shared" si="0"/>
        <v>0</v>
      </c>
      <c r="G17" s="557"/>
      <c r="H17" s="557"/>
      <c r="I17" s="553" t="s">
        <v>1453</v>
      </c>
    </row>
    <row r="18" spans="1:17" ht="13.15" x14ac:dyDescent="0.3">
      <c r="A18" s="1444" t="s">
        <v>545</v>
      </c>
      <c r="B18" s="1444"/>
      <c r="C18" s="1444"/>
      <c r="D18" s="1444"/>
      <c r="E18" s="1444"/>
      <c r="F18" s="370">
        <f>SUM(F12:F17)</f>
        <v>0</v>
      </c>
      <c r="G18" s="1444" t="s">
        <v>1188</v>
      </c>
      <c r="H18" s="1444"/>
      <c r="I18" s="827"/>
    </row>
    <row r="19" spans="1:17" ht="13.15" x14ac:dyDescent="0.3">
      <c r="A19" s="359"/>
      <c r="B19" s="371"/>
      <c r="C19" s="372"/>
      <c r="D19" s="773"/>
      <c r="E19" s="358"/>
      <c r="F19" s="358"/>
      <c r="G19" s="359"/>
      <c r="H19" s="359"/>
      <c r="I19" s="359"/>
    </row>
    <row r="20" spans="1:17" ht="13.9" x14ac:dyDescent="0.25">
      <c r="A20" s="359"/>
      <c r="B20" s="363"/>
      <c r="C20" s="357"/>
      <c r="D20" s="767"/>
      <c r="E20" s="358"/>
      <c r="F20" s="358"/>
      <c r="G20" s="359"/>
      <c r="H20" s="44" t="s">
        <v>82</v>
      </c>
      <c r="I20" s="44"/>
    </row>
    <row r="21" spans="1:17" ht="15" x14ac:dyDescent="0.25">
      <c r="A21" s="359"/>
      <c r="B21" s="371"/>
      <c r="C21" s="357"/>
      <c r="D21" s="767"/>
      <c r="E21" s="358"/>
      <c r="F21" s="358"/>
      <c r="G21" s="359"/>
      <c r="H21" s="45" t="s">
        <v>1448</v>
      </c>
      <c r="I21" s="45"/>
    </row>
    <row r="22" spans="1:17" ht="13.9" x14ac:dyDescent="0.25">
      <c r="A22" s="359"/>
      <c r="B22" s="362"/>
      <c r="C22" s="357"/>
      <c r="D22" s="767"/>
      <c r="E22" s="358"/>
      <c r="F22" s="358"/>
      <c r="G22" s="359"/>
      <c r="H22" s="44" t="s">
        <v>1516</v>
      </c>
      <c r="I22" s="44"/>
    </row>
    <row r="23" spans="1:17" ht="13.9" x14ac:dyDescent="0.25">
      <c r="A23" s="359"/>
      <c r="B23" s="371"/>
      <c r="C23" s="357"/>
      <c r="D23" s="767"/>
      <c r="E23" s="358"/>
      <c r="F23" s="358"/>
      <c r="G23" s="359"/>
      <c r="H23" s="45" t="s">
        <v>83</v>
      </c>
      <c r="I23" s="45"/>
    </row>
    <row r="24" spans="1:17" ht="13.9" x14ac:dyDescent="0.25">
      <c r="A24" s="359"/>
      <c r="B24" s="362"/>
      <c r="C24" s="357"/>
      <c r="D24" s="767"/>
      <c r="E24" s="358"/>
      <c r="F24" s="358"/>
      <c r="G24" s="359"/>
      <c r="H24" s="45" t="s">
        <v>1517</v>
      </c>
      <c r="I24" s="45"/>
    </row>
    <row r="25" spans="1:17" ht="13.15" x14ac:dyDescent="0.3">
      <c r="A25" s="359"/>
      <c r="B25" s="371"/>
      <c r="C25" s="357"/>
      <c r="D25" s="767"/>
      <c r="E25" s="358"/>
      <c r="F25" s="358"/>
      <c r="G25" s="359"/>
      <c r="H25" s="359"/>
      <c r="I25" s="359"/>
    </row>
    <row r="27" spans="1:17" ht="13.15" x14ac:dyDescent="0.3">
      <c r="A27" s="378"/>
    </row>
    <row r="28" spans="1:17" ht="13.15" x14ac:dyDescent="0.3">
      <c r="A28" s="378"/>
      <c r="B28" s="360"/>
      <c r="H28" s="379"/>
      <c r="I28" s="379"/>
    </row>
    <row r="29" spans="1:17" ht="13.15" x14ac:dyDescent="0.3">
      <c r="A29" s="378"/>
      <c r="B29" s="360"/>
      <c r="J29" s="374"/>
      <c r="K29" s="374"/>
      <c r="L29" s="374"/>
      <c r="M29" s="374"/>
      <c r="N29" s="374"/>
      <c r="O29" s="374"/>
      <c r="P29" s="374"/>
      <c r="Q29" s="374"/>
    </row>
    <row r="30" spans="1:17" ht="13.15" x14ac:dyDescent="0.3">
      <c r="A30" s="378"/>
      <c r="B30" s="360"/>
      <c r="H30" s="379"/>
      <c r="I30" s="379"/>
      <c r="J30" s="374"/>
      <c r="K30" s="374"/>
      <c r="L30" s="374"/>
      <c r="M30" s="374"/>
      <c r="N30" s="374"/>
      <c r="O30" s="374"/>
      <c r="P30" s="374"/>
      <c r="Q30" s="374"/>
    </row>
    <row r="31" spans="1:17" ht="13.15" x14ac:dyDescent="0.3">
      <c r="A31" s="378"/>
      <c r="B31" s="360"/>
      <c r="J31" s="374"/>
      <c r="K31" s="374"/>
      <c r="L31" s="374"/>
      <c r="M31" s="374"/>
      <c r="N31" s="374"/>
      <c r="O31" s="374"/>
      <c r="P31" s="374"/>
      <c r="Q31" s="374"/>
    </row>
    <row r="32" spans="1:17" ht="13.15" x14ac:dyDescent="0.3">
      <c r="A32" s="378"/>
      <c r="B32" s="360"/>
      <c r="J32" s="374"/>
      <c r="K32" s="374"/>
      <c r="L32" s="374"/>
      <c r="M32" s="374"/>
      <c r="N32" s="374"/>
      <c r="O32" s="374"/>
      <c r="P32" s="374"/>
      <c r="Q32" s="374"/>
    </row>
    <row r="33" spans="1:17" x14ac:dyDescent="0.25">
      <c r="A33" s="378"/>
      <c r="B33" s="360"/>
      <c r="H33" s="379"/>
      <c r="I33" s="379"/>
      <c r="J33" s="374"/>
      <c r="K33" s="374"/>
      <c r="L33" s="374"/>
      <c r="M33" s="374"/>
      <c r="N33" s="374"/>
      <c r="O33" s="374"/>
      <c r="P33" s="374"/>
      <c r="Q33" s="374"/>
    </row>
    <row r="34" spans="1:17" x14ac:dyDescent="0.25">
      <c r="A34" s="378"/>
      <c r="B34" s="363"/>
      <c r="H34" s="379"/>
      <c r="I34" s="379"/>
      <c r="J34" s="374"/>
      <c r="K34" s="374"/>
      <c r="L34" s="374"/>
      <c r="M34" s="374"/>
      <c r="N34" s="374"/>
      <c r="O34" s="374"/>
      <c r="P34" s="374"/>
      <c r="Q34" s="374"/>
    </row>
    <row r="35" spans="1:17" x14ac:dyDescent="0.25">
      <c r="A35" s="378"/>
      <c r="B35" s="360"/>
      <c r="H35" s="379"/>
      <c r="I35" s="379"/>
      <c r="J35" s="374"/>
      <c r="K35" s="374"/>
      <c r="L35" s="374"/>
      <c r="M35" s="374"/>
      <c r="N35" s="374"/>
      <c r="O35" s="374"/>
      <c r="P35" s="374"/>
      <c r="Q35" s="374"/>
    </row>
    <row r="36" spans="1:17" x14ac:dyDescent="0.25">
      <c r="A36" s="378"/>
      <c r="B36" s="360"/>
      <c r="H36" s="379"/>
      <c r="I36" s="379"/>
      <c r="J36" s="374"/>
      <c r="K36" s="374"/>
      <c r="L36" s="374"/>
      <c r="M36" s="374"/>
      <c r="N36" s="374"/>
      <c r="O36" s="374"/>
      <c r="P36" s="374"/>
      <c r="Q36" s="374"/>
    </row>
    <row r="37" spans="1:17" x14ac:dyDescent="0.25">
      <c r="A37" s="378"/>
      <c r="B37" s="360"/>
      <c r="H37" s="379"/>
      <c r="I37" s="379"/>
      <c r="J37" s="374"/>
      <c r="K37" s="374"/>
      <c r="L37" s="374"/>
      <c r="M37" s="374"/>
      <c r="N37" s="374"/>
      <c r="O37" s="374"/>
      <c r="P37" s="374"/>
      <c r="Q37" s="374"/>
    </row>
    <row r="38" spans="1:17" x14ac:dyDescent="0.25">
      <c r="A38" s="378"/>
      <c r="B38" s="360"/>
      <c r="H38" s="379"/>
      <c r="I38" s="379"/>
      <c r="J38" s="374"/>
      <c r="K38" s="374"/>
      <c r="L38" s="374"/>
      <c r="M38" s="374"/>
      <c r="N38" s="374"/>
      <c r="O38" s="374"/>
      <c r="P38" s="374"/>
      <c r="Q38" s="374"/>
    </row>
    <row r="39" spans="1:17" x14ac:dyDescent="0.25">
      <c r="A39" s="378"/>
      <c r="B39" s="360"/>
      <c r="H39" s="379"/>
      <c r="I39" s="379"/>
      <c r="J39" s="374"/>
      <c r="K39" s="374"/>
      <c r="L39" s="374"/>
      <c r="M39" s="374"/>
      <c r="N39" s="374"/>
      <c r="O39" s="374"/>
      <c r="P39" s="374"/>
      <c r="Q39" s="374"/>
    </row>
    <row r="40" spans="1:17" x14ac:dyDescent="0.25">
      <c r="A40" s="378"/>
      <c r="B40" s="360"/>
      <c r="H40" s="379"/>
      <c r="I40" s="379"/>
      <c r="J40" s="374"/>
      <c r="K40" s="374"/>
      <c r="L40" s="374"/>
      <c r="M40" s="374"/>
      <c r="N40" s="374"/>
      <c r="O40" s="374"/>
      <c r="P40" s="374"/>
      <c r="Q40" s="374"/>
    </row>
    <row r="41" spans="1:17" x14ac:dyDescent="0.25">
      <c r="A41" s="376"/>
      <c r="B41" s="360"/>
      <c r="E41" s="380"/>
      <c r="F41" s="380"/>
      <c r="G41" s="374"/>
      <c r="H41" s="374"/>
      <c r="I41" s="374"/>
      <c r="J41" s="374"/>
      <c r="K41" s="374"/>
      <c r="L41" s="374"/>
      <c r="M41" s="374"/>
      <c r="N41" s="374"/>
      <c r="O41" s="374"/>
      <c r="P41" s="374"/>
      <c r="Q41" s="374"/>
    </row>
    <row r="42" spans="1:17" x14ac:dyDescent="0.25">
      <c r="A42" s="376"/>
      <c r="B42" s="360"/>
      <c r="E42" s="380"/>
      <c r="F42" s="380"/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</row>
    <row r="43" spans="1:17" x14ac:dyDescent="0.25">
      <c r="B43" s="360"/>
      <c r="E43" s="380"/>
      <c r="F43" s="380"/>
      <c r="G43" s="374"/>
      <c r="H43" s="374"/>
      <c r="I43" s="374"/>
      <c r="J43" s="374"/>
      <c r="K43" s="374"/>
      <c r="L43" s="374"/>
      <c r="M43" s="374"/>
      <c r="N43" s="374"/>
      <c r="O43" s="374"/>
      <c r="P43" s="374"/>
      <c r="Q43" s="374"/>
    </row>
    <row r="44" spans="1:17" x14ac:dyDescent="0.25">
      <c r="B44" s="360"/>
      <c r="E44" s="380"/>
      <c r="F44" s="380"/>
      <c r="G44" s="374"/>
      <c r="H44" s="374"/>
      <c r="I44" s="374"/>
      <c r="J44" s="374"/>
      <c r="K44" s="374"/>
      <c r="L44" s="374"/>
      <c r="M44" s="374"/>
      <c r="N44" s="374"/>
      <c r="O44" s="374"/>
      <c r="P44" s="374"/>
      <c r="Q44" s="374"/>
    </row>
    <row r="45" spans="1:17" x14ac:dyDescent="0.25">
      <c r="A45" s="376"/>
      <c r="B45" s="360"/>
      <c r="E45" s="380"/>
      <c r="F45" s="380"/>
      <c r="G45" s="374"/>
      <c r="H45" s="374"/>
      <c r="I45" s="374"/>
      <c r="J45" s="374"/>
      <c r="K45" s="374"/>
      <c r="L45" s="374"/>
      <c r="M45" s="374"/>
      <c r="N45" s="374"/>
      <c r="O45" s="374"/>
      <c r="P45" s="374"/>
      <c r="Q45" s="374"/>
    </row>
    <row r="46" spans="1:17" x14ac:dyDescent="0.25">
      <c r="A46" s="376"/>
      <c r="B46" s="360"/>
      <c r="E46" s="380"/>
      <c r="F46" s="380"/>
      <c r="G46" s="374"/>
      <c r="H46" s="374"/>
      <c r="I46" s="374"/>
      <c r="J46" s="374"/>
      <c r="K46" s="374"/>
      <c r="L46" s="374"/>
      <c r="M46" s="374"/>
      <c r="N46" s="374"/>
      <c r="O46" s="374"/>
      <c r="P46" s="374"/>
      <c r="Q46" s="374"/>
    </row>
    <row r="47" spans="1:17" x14ac:dyDescent="0.25">
      <c r="A47" s="376"/>
      <c r="B47" s="360"/>
      <c r="E47" s="380"/>
      <c r="F47" s="380"/>
      <c r="G47" s="374"/>
      <c r="H47" s="374"/>
      <c r="I47" s="374"/>
      <c r="J47" s="374"/>
      <c r="K47" s="374"/>
      <c r="L47" s="374"/>
      <c r="M47" s="374"/>
      <c r="N47" s="374"/>
      <c r="O47" s="374"/>
      <c r="P47" s="374"/>
      <c r="Q47" s="374"/>
    </row>
    <row r="48" spans="1:17" x14ac:dyDescent="0.25">
      <c r="A48" s="376"/>
      <c r="B48" s="360"/>
      <c r="E48" s="380"/>
      <c r="F48" s="380"/>
      <c r="G48" s="374"/>
      <c r="H48" s="374"/>
      <c r="I48" s="374"/>
      <c r="J48" s="374"/>
      <c r="K48" s="374"/>
      <c r="L48" s="374"/>
      <c r="M48" s="374"/>
      <c r="N48" s="374"/>
      <c r="O48" s="374"/>
      <c r="P48" s="374"/>
      <c r="Q48" s="374"/>
    </row>
    <row r="49" spans="1:17" x14ac:dyDescent="0.25">
      <c r="A49" s="376"/>
      <c r="B49" s="360"/>
      <c r="E49" s="380"/>
      <c r="F49" s="380"/>
      <c r="G49" s="374"/>
      <c r="H49" s="374"/>
      <c r="I49" s="374"/>
      <c r="J49" s="374"/>
      <c r="K49" s="374"/>
      <c r="L49" s="374"/>
      <c r="M49" s="374"/>
      <c r="N49" s="374"/>
      <c r="O49" s="374"/>
      <c r="P49" s="374"/>
      <c r="Q49" s="374"/>
    </row>
    <row r="50" spans="1:17" x14ac:dyDescent="0.25">
      <c r="A50" s="376"/>
      <c r="B50" s="360"/>
      <c r="E50" s="380"/>
      <c r="F50" s="380"/>
      <c r="G50" s="374"/>
      <c r="H50" s="374"/>
      <c r="I50" s="374"/>
      <c r="J50" s="374"/>
      <c r="K50" s="374"/>
      <c r="L50" s="374"/>
      <c r="M50" s="374"/>
      <c r="N50" s="374"/>
      <c r="O50" s="374"/>
      <c r="P50" s="374"/>
      <c r="Q50" s="374"/>
    </row>
    <row r="51" spans="1:17" x14ac:dyDescent="0.25">
      <c r="A51" s="376"/>
      <c r="E51" s="380"/>
      <c r="F51" s="380"/>
      <c r="G51" s="374"/>
      <c r="H51" s="374"/>
      <c r="I51" s="374"/>
      <c r="J51" s="374"/>
      <c r="K51" s="374"/>
      <c r="L51" s="374"/>
      <c r="M51" s="374"/>
      <c r="N51" s="374"/>
      <c r="O51" s="374"/>
      <c r="P51" s="374"/>
      <c r="Q51" s="374"/>
    </row>
    <row r="52" spans="1:17" x14ac:dyDescent="0.25">
      <c r="A52" s="376"/>
      <c r="E52" s="380"/>
      <c r="F52" s="380"/>
      <c r="G52" s="374"/>
      <c r="H52" s="374"/>
      <c r="I52" s="374"/>
      <c r="J52" s="374"/>
      <c r="K52" s="374"/>
      <c r="L52" s="374"/>
      <c r="M52" s="374"/>
      <c r="N52" s="374"/>
      <c r="O52" s="374"/>
      <c r="P52" s="374"/>
      <c r="Q52" s="374"/>
    </row>
    <row r="53" spans="1:17" x14ac:dyDescent="0.25">
      <c r="A53" s="376"/>
      <c r="B53" s="360"/>
      <c r="E53" s="380"/>
      <c r="F53" s="380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</row>
    <row r="54" spans="1:17" x14ac:dyDescent="0.25">
      <c r="A54" s="376"/>
      <c r="E54" s="380"/>
      <c r="F54" s="380"/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</row>
    <row r="55" spans="1:17" x14ac:dyDescent="0.25">
      <c r="A55" s="376"/>
      <c r="E55" s="380"/>
      <c r="F55" s="380"/>
      <c r="G55" s="374"/>
      <c r="H55" s="374"/>
      <c r="I55" s="374"/>
      <c r="J55" s="374"/>
      <c r="K55" s="374"/>
      <c r="L55" s="374"/>
      <c r="M55" s="374"/>
      <c r="N55" s="374"/>
      <c r="O55" s="374"/>
      <c r="P55" s="374"/>
      <c r="Q55" s="374"/>
    </row>
    <row r="56" spans="1:17" x14ac:dyDescent="0.25">
      <c r="A56" s="376"/>
      <c r="E56" s="380"/>
      <c r="F56" s="380"/>
      <c r="G56" s="374"/>
      <c r="H56" s="374"/>
      <c r="I56" s="374"/>
      <c r="J56" s="374"/>
      <c r="K56" s="374"/>
      <c r="L56" s="374"/>
      <c r="M56" s="374"/>
      <c r="N56" s="374"/>
      <c r="O56" s="374"/>
      <c r="P56" s="374"/>
      <c r="Q56" s="374"/>
    </row>
    <row r="57" spans="1:17" x14ac:dyDescent="0.25">
      <c r="A57" s="376"/>
      <c r="E57" s="380"/>
      <c r="F57" s="380"/>
      <c r="G57" s="374"/>
      <c r="H57" s="374"/>
      <c r="I57" s="374"/>
      <c r="J57" s="374"/>
      <c r="K57" s="374"/>
      <c r="L57" s="374"/>
      <c r="M57" s="374"/>
      <c r="N57" s="374"/>
      <c r="O57" s="374"/>
      <c r="P57" s="374"/>
      <c r="Q57" s="374"/>
    </row>
    <row r="58" spans="1:17" x14ac:dyDescent="0.25">
      <c r="A58" s="376"/>
      <c r="E58" s="380"/>
      <c r="F58" s="380"/>
      <c r="G58" s="374"/>
      <c r="H58" s="374"/>
      <c r="I58" s="374"/>
      <c r="J58" s="374"/>
      <c r="K58" s="374"/>
      <c r="L58" s="374"/>
      <c r="M58" s="374"/>
      <c r="N58" s="374"/>
      <c r="O58" s="374"/>
      <c r="P58" s="374"/>
      <c r="Q58" s="374"/>
    </row>
    <row r="59" spans="1:17" x14ac:dyDescent="0.25">
      <c r="A59" s="376"/>
      <c r="E59" s="380"/>
      <c r="F59" s="380"/>
      <c r="G59" s="374"/>
      <c r="H59" s="374"/>
      <c r="I59" s="374"/>
      <c r="J59" s="374"/>
      <c r="K59" s="374"/>
      <c r="L59" s="374"/>
      <c r="M59" s="374"/>
      <c r="N59" s="374"/>
      <c r="O59" s="374"/>
      <c r="P59" s="374"/>
      <c r="Q59" s="374"/>
    </row>
    <row r="60" spans="1:17" x14ac:dyDescent="0.25">
      <c r="A60" s="376"/>
      <c r="E60" s="380"/>
      <c r="F60" s="380"/>
      <c r="G60" s="374"/>
      <c r="H60" s="374"/>
      <c r="I60" s="374"/>
      <c r="J60" s="374"/>
      <c r="K60" s="374"/>
      <c r="L60" s="374"/>
      <c r="M60" s="374"/>
      <c r="N60" s="374"/>
      <c r="O60" s="374"/>
      <c r="P60" s="374"/>
      <c r="Q60" s="374"/>
    </row>
    <row r="61" spans="1:17" x14ac:dyDescent="0.25">
      <c r="B61" s="360"/>
      <c r="E61" s="380"/>
      <c r="F61" s="380"/>
      <c r="G61" s="374"/>
      <c r="H61" s="374"/>
      <c r="I61" s="374"/>
      <c r="J61" s="374"/>
      <c r="K61" s="374"/>
      <c r="L61" s="374"/>
      <c r="M61" s="374"/>
      <c r="N61" s="374"/>
      <c r="O61" s="374"/>
      <c r="P61" s="374"/>
      <c r="Q61" s="374"/>
    </row>
    <row r="62" spans="1:17" x14ac:dyDescent="0.25">
      <c r="B62" s="360"/>
      <c r="E62" s="380"/>
      <c r="F62" s="380"/>
      <c r="G62" s="374"/>
      <c r="H62" s="374"/>
      <c r="I62" s="374"/>
      <c r="J62" s="374"/>
      <c r="K62" s="374"/>
      <c r="L62" s="374"/>
      <c r="M62" s="374"/>
      <c r="N62" s="374"/>
      <c r="O62" s="374"/>
      <c r="P62" s="374"/>
      <c r="Q62" s="374"/>
    </row>
    <row r="63" spans="1:17" x14ac:dyDescent="0.25">
      <c r="B63" s="360"/>
      <c r="E63" s="380"/>
      <c r="F63" s="380"/>
      <c r="G63" s="374"/>
      <c r="H63" s="374"/>
      <c r="I63" s="374"/>
      <c r="J63" s="374"/>
      <c r="K63" s="374"/>
      <c r="L63" s="374"/>
      <c r="M63" s="374"/>
      <c r="N63" s="374"/>
      <c r="O63" s="374"/>
      <c r="P63" s="374"/>
      <c r="Q63" s="374"/>
    </row>
    <row r="64" spans="1:17" x14ac:dyDescent="0.25">
      <c r="A64" s="376"/>
      <c r="B64" s="360"/>
      <c r="E64" s="380"/>
      <c r="F64" s="380"/>
      <c r="G64" s="374"/>
      <c r="H64" s="374"/>
      <c r="I64" s="374"/>
      <c r="J64" s="374"/>
      <c r="K64" s="374"/>
      <c r="L64" s="374"/>
      <c r="M64" s="374"/>
      <c r="N64" s="374"/>
      <c r="O64" s="374"/>
      <c r="P64" s="374"/>
      <c r="Q64" s="374"/>
    </row>
    <row r="65" spans="1:18" x14ac:dyDescent="0.25">
      <c r="A65" s="376"/>
      <c r="B65" s="360"/>
      <c r="E65" s="380"/>
      <c r="F65" s="380"/>
      <c r="G65" s="374"/>
      <c r="H65" s="374"/>
      <c r="I65" s="374"/>
      <c r="J65" s="374"/>
      <c r="K65" s="374"/>
      <c r="L65" s="374"/>
      <c r="M65" s="374"/>
      <c r="N65" s="374"/>
      <c r="O65" s="374"/>
      <c r="P65" s="374"/>
      <c r="Q65" s="374"/>
    </row>
    <row r="66" spans="1:18" x14ac:dyDescent="0.25">
      <c r="A66" s="376"/>
      <c r="B66" s="360"/>
      <c r="E66" s="380"/>
      <c r="F66" s="380"/>
      <c r="G66" s="374"/>
      <c r="H66" s="374"/>
      <c r="I66" s="374"/>
      <c r="J66" s="374"/>
      <c r="K66" s="374"/>
      <c r="L66" s="374"/>
      <c r="M66" s="374"/>
      <c r="N66" s="374"/>
      <c r="O66" s="374"/>
      <c r="P66" s="374"/>
      <c r="Q66" s="374"/>
    </row>
    <row r="67" spans="1:18" x14ac:dyDescent="0.25">
      <c r="A67" s="376"/>
      <c r="B67" s="360"/>
      <c r="E67" s="380"/>
      <c r="F67" s="380"/>
      <c r="G67" s="374"/>
      <c r="H67" s="374"/>
      <c r="I67" s="374"/>
      <c r="J67" s="374"/>
      <c r="K67" s="374"/>
      <c r="L67" s="374"/>
      <c r="M67" s="374"/>
      <c r="N67" s="374"/>
      <c r="O67" s="374"/>
      <c r="P67" s="374"/>
      <c r="Q67" s="374"/>
    </row>
    <row r="68" spans="1:18" x14ac:dyDescent="0.25">
      <c r="A68" s="376"/>
      <c r="B68" s="360"/>
      <c r="E68" s="380"/>
      <c r="F68" s="380"/>
      <c r="G68" s="374"/>
      <c r="H68" s="374"/>
      <c r="I68" s="374"/>
      <c r="J68" s="374"/>
      <c r="K68" s="374"/>
      <c r="L68" s="374"/>
      <c r="M68" s="374"/>
      <c r="N68" s="374"/>
      <c r="O68" s="374"/>
      <c r="P68" s="374"/>
      <c r="Q68" s="374"/>
    </row>
    <row r="69" spans="1:18" x14ac:dyDescent="0.25">
      <c r="A69" s="376"/>
      <c r="B69" s="360"/>
      <c r="E69" s="380"/>
      <c r="F69" s="380"/>
      <c r="G69" s="374"/>
      <c r="H69" s="374"/>
      <c r="I69" s="374"/>
      <c r="J69" s="374"/>
      <c r="K69" s="374"/>
      <c r="L69" s="374"/>
      <c r="M69" s="374"/>
      <c r="N69" s="374"/>
      <c r="O69" s="374"/>
      <c r="P69" s="374"/>
      <c r="Q69" s="374"/>
    </row>
    <row r="70" spans="1:18" x14ac:dyDescent="0.25">
      <c r="A70" s="376"/>
      <c r="B70" s="360"/>
      <c r="E70" s="380"/>
      <c r="F70" s="380"/>
      <c r="G70" s="374"/>
      <c r="H70" s="374"/>
      <c r="I70" s="374"/>
      <c r="J70" s="374"/>
      <c r="K70" s="374"/>
      <c r="L70" s="374"/>
      <c r="M70" s="374"/>
      <c r="N70" s="374"/>
      <c r="O70" s="374"/>
      <c r="P70" s="374"/>
      <c r="Q70" s="374"/>
    </row>
    <row r="71" spans="1:18" x14ac:dyDescent="0.25">
      <c r="A71" s="376"/>
      <c r="B71" s="360"/>
      <c r="E71" s="380"/>
      <c r="F71" s="380"/>
      <c r="G71" s="374"/>
      <c r="H71" s="374"/>
      <c r="I71" s="374"/>
      <c r="J71" s="374"/>
      <c r="K71" s="374"/>
      <c r="L71" s="374"/>
      <c r="M71" s="374"/>
      <c r="N71" s="374"/>
      <c r="O71" s="374"/>
      <c r="P71" s="374"/>
      <c r="Q71" s="374"/>
    </row>
    <row r="72" spans="1:18" x14ac:dyDescent="0.25">
      <c r="B72" s="360"/>
      <c r="E72" s="380"/>
      <c r="F72" s="380"/>
      <c r="G72" s="374"/>
      <c r="H72" s="374"/>
      <c r="I72" s="374"/>
      <c r="J72" s="374"/>
      <c r="K72" s="374"/>
      <c r="L72" s="374"/>
      <c r="M72" s="374"/>
      <c r="N72" s="374"/>
      <c r="O72" s="374"/>
      <c r="P72" s="374"/>
      <c r="Q72" s="374"/>
    </row>
    <row r="73" spans="1:18" x14ac:dyDescent="0.25">
      <c r="C73" s="381"/>
      <c r="D73" s="775"/>
      <c r="E73" s="382"/>
    </row>
    <row r="74" spans="1:18" s="375" customFormat="1" x14ac:dyDescent="0.25">
      <c r="A74" s="376"/>
      <c r="B74" s="373"/>
      <c r="C74" s="381"/>
      <c r="D74" s="775"/>
      <c r="E74" s="382"/>
      <c r="G74" s="360"/>
      <c r="H74" s="360"/>
      <c r="I74" s="360"/>
      <c r="J74" s="360"/>
      <c r="K74" s="360"/>
      <c r="L74" s="360"/>
      <c r="M74" s="360"/>
      <c r="N74" s="360"/>
      <c r="O74" s="360"/>
      <c r="P74" s="360"/>
      <c r="Q74" s="360"/>
      <c r="R74" s="360"/>
    </row>
    <row r="75" spans="1:18" s="375" customFormat="1" x14ac:dyDescent="0.25">
      <c r="A75" s="376"/>
      <c r="B75" s="373"/>
      <c r="C75" s="381"/>
      <c r="D75" s="775"/>
      <c r="E75" s="382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</row>
    <row r="76" spans="1:18" s="375" customFormat="1" x14ac:dyDescent="0.25">
      <c r="A76" s="376"/>
      <c r="B76" s="373"/>
      <c r="C76" s="381"/>
      <c r="D76" s="775"/>
      <c r="E76" s="382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</row>
    <row r="77" spans="1:18" s="375" customFormat="1" x14ac:dyDescent="0.25">
      <c r="A77" s="376"/>
      <c r="B77" s="360"/>
      <c r="C77" s="381"/>
      <c r="D77" s="775"/>
      <c r="E77" s="382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</row>
    <row r="78" spans="1:18" s="375" customFormat="1" x14ac:dyDescent="0.25">
      <c r="A78" s="376"/>
      <c r="B78" s="360"/>
      <c r="C78" s="381"/>
      <c r="D78" s="775"/>
      <c r="E78" s="382"/>
      <c r="G78" s="360"/>
      <c r="H78" s="360"/>
      <c r="I78" s="360"/>
      <c r="J78" s="360"/>
      <c r="K78" s="360"/>
      <c r="L78" s="360"/>
      <c r="M78" s="360"/>
      <c r="N78" s="360"/>
      <c r="O78" s="360"/>
      <c r="P78" s="360"/>
      <c r="Q78" s="360"/>
      <c r="R78" s="360"/>
    </row>
    <row r="79" spans="1:18" s="375" customFormat="1" x14ac:dyDescent="0.25">
      <c r="A79" s="376"/>
      <c r="B79" s="360"/>
      <c r="C79" s="381"/>
      <c r="D79" s="775"/>
      <c r="E79" s="382"/>
      <c r="G79" s="360"/>
      <c r="H79" s="360"/>
      <c r="I79" s="360"/>
      <c r="J79" s="360"/>
      <c r="K79" s="360"/>
      <c r="L79" s="360"/>
      <c r="M79" s="360"/>
      <c r="N79" s="360"/>
      <c r="O79" s="360"/>
      <c r="P79" s="360"/>
      <c r="Q79" s="360"/>
      <c r="R79" s="360"/>
    </row>
    <row r="80" spans="1:18" s="375" customFormat="1" x14ac:dyDescent="0.25">
      <c r="A80" s="376"/>
      <c r="B80" s="373"/>
      <c r="C80" s="374"/>
      <c r="D80" s="774"/>
      <c r="E80" s="382"/>
      <c r="G80" s="360"/>
      <c r="H80" s="360"/>
      <c r="I80" s="360"/>
      <c r="J80" s="360"/>
      <c r="K80" s="360"/>
      <c r="L80" s="360"/>
      <c r="M80" s="360"/>
      <c r="N80" s="360"/>
      <c r="O80" s="360"/>
      <c r="P80" s="360"/>
      <c r="Q80" s="360"/>
      <c r="R80" s="360"/>
    </row>
    <row r="81" spans="1:18" s="375" customFormat="1" x14ac:dyDescent="0.25">
      <c r="A81" s="376"/>
      <c r="B81" s="373"/>
      <c r="C81" s="374"/>
      <c r="D81" s="774"/>
      <c r="E81" s="382"/>
      <c r="G81" s="360"/>
      <c r="H81" s="360"/>
      <c r="I81" s="360"/>
      <c r="J81" s="360"/>
      <c r="K81" s="360"/>
      <c r="L81" s="360"/>
      <c r="M81" s="360"/>
      <c r="N81" s="360"/>
      <c r="O81" s="360"/>
      <c r="P81" s="360"/>
      <c r="Q81" s="360"/>
      <c r="R81" s="360"/>
    </row>
    <row r="82" spans="1:18" s="375" customFormat="1" x14ac:dyDescent="0.25">
      <c r="A82" s="376"/>
      <c r="B82" s="373"/>
      <c r="C82" s="381"/>
      <c r="D82" s="775"/>
      <c r="E82" s="382"/>
      <c r="G82" s="360"/>
      <c r="H82" s="360"/>
      <c r="I82" s="360"/>
      <c r="J82" s="360"/>
      <c r="K82" s="360"/>
      <c r="L82" s="360"/>
      <c r="M82" s="360"/>
      <c r="N82" s="360"/>
      <c r="O82" s="360"/>
      <c r="P82" s="360"/>
      <c r="Q82" s="360"/>
      <c r="R82" s="360"/>
    </row>
    <row r="83" spans="1:18" s="375" customFormat="1" x14ac:dyDescent="0.25">
      <c r="A83" s="376"/>
      <c r="B83" s="360"/>
      <c r="C83" s="381"/>
      <c r="D83" s="775"/>
      <c r="E83" s="382"/>
      <c r="G83" s="360"/>
      <c r="H83" s="360"/>
      <c r="I83" s="360"/>
      <c r="J83" s="360"/>
      <c r="K83" s="360"/>
      <c r="L83" s="360"/>
      <c r="M83" s="360"/>
      <c r="N83" s="360"/>
      <c r="O83" s="360"/>
      <c r="P83" s="360"/>
      <c r="Q83" s="360"/>
      <c r="R83" s="360"/>
    </row>
    <row r="84" spans="1:18" s="375" customFormat="1" x14ac:dyDescent="0.25">
      <c r="A84" s="376"/>
      <c r="B84" s="373"/>
      <c r="C84" s="381"/>
      <c r="D84" s="775"/>
      <c r="E84" s="382"/>
      <c r="G84" s="360"/>
      <c r="H84" s="360"/>
      <c r="I84" s="360"/>
      <c r="J84" s="360"/>
      <c r="K84" s="360"/>
      <c r="L84" s="360"/>
      <c r="M84" s="360"/>
      <c r="N84" s="360"/>
      <c r="O84" s="360"/>
      <c r="P84" s="360"/>
      <c r="Q84" s="360"/>
      <c r="R84" s="360"/>
    </row>
    <row r="85" spans="1:18" s="375" customFormat="1" x14ac:dyDescent="0.25">
      <c r="A85" s="376"/>
      <c r="B85" s="360"/>
      <c r="C85" s="381"/>
      <c r="D85" s="775"/>
      <c r="E85" s="382"/>
      <c r="G85" s="360"/>
      <c r="H85" s="360"/>
      <c r="I85" s="360"/>
      <c r="J85" s="360"/>
      <c r="K85" s="360"/>
      <c r="L85" s="360"/>
      <c r="M85" s="360"/>
      <c r="N85" s="360"/>
      <c r="O85" s="360"/>
      <c r="P85" s="360"/>
      <c r="Q85" s="360"/>
      <c r="R85" s="360"/>
    </row>
    <row r="86" spans="1:18" s="375" customFormat="1" x14ac:dyDescent="0.25">
      <c r="A86" s="376"/>
      <c r="B86" s="373"/>
      <c r="C86" s="381"/>
      <c r="D86" s="775"/>
      <c r="E86" s="382"/>
      <c r="G86" s="360"/>
      <c r="H86" s="360"/>
      <c r="I86" s="360"/>
      <c r="J86" s="360"/>
      <c r="K86" s="360"/>
      <c r="L86" s="360"/>
      <c r="M86" s="360"/>
      <c r="N86" s="360"/>
      <c r="O86" s="360"/>
      <c r="P86" s="360"/>
      <c r="Q86" s="360"/>
      <c r="R86" s="360"/>
    </row>
    <row r="87" spans="1:18" s="375" customFormat="1" x14ac:dyDescent="0.25">
      <c r="A87" s="376"/>
      <c r="B87" s="373"/>
      <c r="C87" s="381"/>
      <c r="D87" s="775"/>
      <c r="E87" s="382"/>
      <c r="G87" s="360"/>
      <c r="H87" s="360"/>
      <c r="I87" s="360"/>
      <c r="J87" s="360"/>
      <c r="K87" s="360"/>
      <c r="L87" s="360"/>
      <c r="M87" s="360"/>
      <c r="N87" s="360"/>
      <c r="O87" s="360"/>
      <c r="P87" s="360"/>
      <c r="Q87" s="360"/>
      <c r="R87" s="360"/>
    </row>
    <row r="88" spans="1:18" s="375" customFormat="1" x14ac:dyDescent="0.25">
      <c r="A88" s="360"/>
      <c r="B88" s="373"/>
      <c r="C88" s="381"/>
      <c r="D88" s="775"/>
      <c r="E88" s="382"/>
      <c r="G88" s="360"/>
      <c r="H88" s="360"/>
      <c r="I88" s="360"/>
      <c r="J88" s="360"/>
      <c r="K88" s="360"/>
      <c r="L88" s="360"/>
      <c r="M88" s="360"/>
      <c r="N88" s="360"/>
      <c r="O88" s="360"/>
      <c r="P88" s="360"/>
      <c r="Q88" s="360"/>
      <c r="R88" s="360"/>
    </row>
    <row r="89" spans="1:18" s="375" customFormat="1" x14ac:dyDescent="0.25">
      <c r="A89" s="360"/>
      <c r="B89" s="373"/>
      <c r="C89" s="381"/>
      <c r="D89" s="775"/>
      <c r="E89" s="382"/>
      <c r="G89" s="360"/>
      <c r="H89" s="360"/>
      <c r="I89" s="360"/>
      <c r="J89" s="360"/>
      <c r="K89" s="360"/>
      <c r="L89" s="360"/>
      <c r="M89" s="360"/>
      <c r="N89" s="360"/>
      <c r="O89" s="360"/>
      <c r="P89" s="360"/>
      <c r="Q89" s="360"/>
      <c r="R89" s="360"/>
    </row>
    <row r="90" spans="1:18" x14ac:dyDescent="0.25">
      <c r="C90" s="381"/>
      <c r="D90" s="775"/>
      <c r="E90" s="382"/>
    </row>
    <row r="91" spans="1:18" x14ac:dyDescent="0.25">
      <c r="C91" s="381"/>
      <c r="D91" s="775"/>
      <c r="E91" s="382"/>
    </row>
    <row r="92" spans="1:18" x14ac:dyDescent="0.25">
      <c r="C92" s="381"/>
      <c r="D92" s="775"/>
      <c r="E92" s="382"/>
    </row>
    <row r="93" spans="1:18" x14ac:dyDescent="0.25">
      <c r="C93" s="381"/>
      <c r="D93" s="775"/>
      <c r="E93" s="382"/>
    </row>
    <row r="94" spans="1:18" x14ac:dyDescent="0.25">
      <c r="C94" s="381"/>
      <c r="D94" s="775"/>
      <c r="E94" s="382"/>
    </row>
    <row r="95" spans="1:18" x14ac:dyDescent="0.25">
      <c r="C95" s="381"/>
      <c r="D95" s="775"/>
      <c r="E95" s="382"/>
    </row>
    <row r="96" spans="1:18" x14ac:dyDescent="0.25">
      <c r="C96" s="381"/>
      <c r="D96" s="775"/>
      <c r="E96" s="382"/>
    </row>
    <row r="97" spans="1:17" x14ac:dyDescent="0.25">
      <c r="C97" s="381"/>
      <c r="D97" s="775"/>
      <c r="E97" s="382"/>
    </row>
    <row r="98" spans="1:17" x14ac:dyDescent="0.25">
      <c r="B98" s="360"/>
      <c r="C98" s="381"/>
      <c r="D98" s="775"/>
      <c r="E98" s="382"/>
    </row>
    <row r="99" spans="1:17" x14ac:dyDescent="0.25">
      <c r="A99" s="383"/>
      <c r="B99" s="360"/>
      <c r="C99" s="384"/>
      <c r="D99" s="776"/>
      <c r="E99" s="380"/>
      <c r="G99" s="385"/>
      <c r="H99" s="385"/>
      <c r="I99" s="385"/>
      <c r="J99" s="385"/>
      <c r="K99" s="385"/>
      <c r="L99" s="385"/>
      <c r="M99" s="385"/>
      <c r="N99" s="385"/>
      <c r="O99" s="385"/>
      <c r="P99" s="385"/>
      <c r="Q99" s="385"/>
    </row>
    <row r="100" spans="1:17" x14ac:dyDescent="0.25">
      <c r="A100" s="383"/>
      <c r="B100" s="386"/>
      <c r="C100" s="384"/>
      <c r="D100" s="776"/>
      <c r="E100" s="380"/>
      <c r="F100" s="380"/>
      <c r="G100" s="387"/>
      <c r="H100" s="387"/>
      <c r="I100" s="387"/>
      <c r="J100" s="387"/>
      <c r="K100" s="387"/>
      <c r="L100" s="387"/>
      <c r="M100" s="387"/>
      <c r="N100" s="387"/>
      <c r="O100" s="387"/>
      <c r="P100" s="387"/>
      <c r="Q100" s="387"/>
    </row>
    <row r="101" spans="1:17" x14ac:dyDescent="0.25">
      <c r="A101" s="383"/>
      <c r="B101" s="386"/>
      <c r="C101" s="384"/>
      <c r="D101" s="776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  <c r="Q101" s="385"/>
    </row>
    <row r="102" spans="1:17" x14ac:dyDescent="0.25">
      <c r="A102" s="383"/>
      <c r="B102" s="386"/>
      <c r="C102" s="384"/>
      <c r="D102" s="776"/>
      <c r="G102" s="385"/>
      <c r="H102" s="385"/>
      <c r="I102" s="385"/>
      <c r="J102" s="385"/>
      <c r="K102" s="385"/>
      <c r="L102" s="385"/>
      <c r="M102" s="385"/>
      <c r="N102" s="385"/>
      <c r="O102" s="385"/>
      <c r="P102" s="385"/>
      <c r="Q102" s="385"/>
    </row>
    <row r="103" spans="1:17" x14ac:dyDescent="0.25">
      <c r="A103" s="383"/>
      <c r="C103" s="384"/>
      <c r="D103" s="776"/>
      <c r="G103" s="385"/>
      <c r="H103" s="385"/>
      <c r="I103" s="385"/>
      <c r="J103" s="385"/>
      <c r="K103" s="385"/>
      <c r="L103" s="385"/>
      <c r="M103" s="385"/>
      <c r="N103" s="385"/>
      <c r="O103" s="385"/>
      <c r="P103" s="385"/>
      <c r="Q103" s="385"/>
    </row>
    <row r="104" spans="1:17" x14ac:dyDescent="0.25">
      <c r="A104" s="383"/>
      <c r="C104" s="384"/>
      <c r="D104" s="776"/>
      <c r="G104" s="385"/>
      <c r="H104" s="385"/>
      <c r="I104" s="385"/>
      <c r="J104" s="385"/>
      <c r="K104" s="385"/>
      <c r="L104" s="385"/>
      <c r="M104" s="385"/>
      <c r="N104" s="385"/>
      <c r="O104" s="385"/>
      <c r="P104" s="385"/>
      <c r="Q104" s="385"/>
    </row>
    <row r="105" spans="1:17" x14ac:dyDescent="0.25">
      <c r="A105" s="383"/>
      <c r="B105" s="388"/>
      <c r="C105" s="384"/>
      <c r="D105" s="776"/>
      <c r="G105" s="385"/>
      <c r="H105" s="385"/>
      <c r="I105" s="385"/>
      <c r="J105" s="385"/>
      <c r="K105" s="385"/>
      <c r="L105" s="385"/>
      <c r="M105" s="385"/>
      <c r="N105" s="385"/>
      <c r="O105" s="385"/>
      <c r="P105" s="385"/>
      <c r="Q105" s="385"/>
    </row>
    <row r="106" spans="1:17" x14ac:dyDescent="0.25">
      <c r="A106" s="383"/>
      <c r="C106" s="384"/>
      <c r="D106" s="776"/>
      <c r="G106" s="385"/>
      <c r="H106" s="385"/>
      <c r="I106" s="385"/>
      <c r="J106" s="385"/>
      <c r="K106" s="385"/>
      <c r="L106" s="385"/>
      <c r="M106" s="385"/>
      <c r="N106" s="385"/>
      <c r="O106" s="385"/>
      <c r="P106" s="385"/>
      <c r="Q106" s="385"/>
    </row>
    <row r="107" spans="1:17" x14ac:dyDescent="0.25">
      <c r="A107" s="383"/>
      <c r="B107" s="386"/>
      <c r="C107" s="384"/>
      <c r="D107" s="776"/>
      <c r="G107" s="385"/>
      <c r="H107" s="385"/>
      <c r="I107" s="385"/>
      <c r="J107" s="385"/>
      <c r="K107" s="385"/>
      <c r="L107" s="385"/>
      <c r="M107" s="385"/>
      <c r="N107" s="385"/>
      <c r="O107" s="385"/>
      <c r="P107" s="385"/>
      <c r="Q107" s="385"/>
    </row>
    <row r="108" spans="1:17" x14ac:dyDescent="0.25">
      <c r="A108" s="383"/>
      <c r="B108" s="386"/>
      <c r="C108" s="384"/>
      <c r="D108" s="776"/>
      <c r="G108" s="385"/>
      <c r="H108" s="385"/>
      <c r="I108" s="385"/>
      <c r="J108" s="385"/>
      <c r="K108" s="385"/>
      <c r="L108" s="385"/>
      <c r="M108" s="385"/>
      <c r="N108" s="385"/>
      <c r="O108" s="385"/>
      <c r="P108" s="385"/>
      <c r="Q108" s="385"/>
    </row>
    <row r="109" spans="1:17" x14ac:dyDescent="0.25">
      <c r="A109" s="383"/>
      <c r="B109" s="386"/>
      <c r="C109" s="384"/>
      <c r="D109" s="776"/>
      <c r="G109" s="385"/>
      <c r="H109" s="385"/>
      <c r="I109" s="385"/>
      <c r="J109" s="385"/>
      <c r="K109" s="385"/>
      <c r="L109" s="385"/>
      <c r="M109" s="385"/>
      <c r="N109" s="385"/>
      <c r="O109" s="385"/>
      <c r="P109" s="385"/>
      <c r="Q109" s="385"/>
    </row>
    <row r="110" spans="1:17" x14ac:dyDescent="0.25">
      <c r="A110" s="383"/>
      <c r="B110" s="386"/>
      <c r="C110" s="384"/>
      <c r="D110" s="776"/>
      <c r="G110" s="385"/>
      <c r="H110" s="385"/>
      <c r="I110" s="385"/>
      <c r="J110" s="385"/>
      <c r="K110" s="385"/>
      <c r="L110" s="385"/>
      <c r="M110" s="385"/>
      <c r="N110" s="385"/>
      <c r="O110" s="385"/>
      <c r="P110" s="385"/>
      <c r="Q110" s="385"/>
    </row>
    <row r="111" spans="1:17" x14ac:dyDescent="0.25">
      <c r="A111" s="383"/>
      <c r="B111" s="386"/>
      <c r="C111" s="384"/>
      <c r="D111" s="776"/>
      <c r="G111" s="385"/>
      <c r="H111" s="385"/>
      <c r="I111" s="385"/>
      <c r="J111" s="385"/>
      <c r="K111" s="385"/>
      <c r="L111" s="385"/>
      <c r="M111" s="385"/>
      <c r="N111" s="385"/>
      <c r="O111" s="385"/>
      <c r="P111" s="385"/>
      <c r="Q111" s="385"/>
    </row>
    <row r="112" spans="1:17" x14ac:dyDescent="0.25">
      <c r="A112" s="383"/>
      <c r="B112" s="386"/>
      <c r="C112" s="384"/>
      <c r="D112" s="776"/>
      <c r="G112" s="385"/>
      <c r="H112" s="385"/>
      <c r="I112" s="385"/>
      <c r="J112" s="385"/>
      <c r="K112" s="385"/>
      <c r="L112" s="385"/>
      <c r="M112" s="385"/>
      <c r="N112" s="385"/>
      <c r="O112" s="385"/>
      <c r="P112" s="385"/>
      <c r="Q112" s="385"/>
    </row>
    <row r="113" spans="2:17" x14ac:dyDescent="0.25">
      <c r="C113" s="384"/>
      <c r="D113" s="776"/>
      <c r="G113" s="385"/>
      <c r="H113" s="385"/>
      <c r="I113" s="385"/>
      <c r="J113" s="385"/>
      <c r="K113" s="385"/>
      <c r="L113" s="385"/>
      <c r="M113" s="385"/>
      <c r="N113" s="385"/>
      <c r="O113" s="385"/>
      <c r="P113" s="385"/>
      <c r="Q113" s="385"/>
    </row>
    <row r="114" spans="2:17" x14ac:dyDescent="0.25">
      <c r="B114" s="386"/>
      <c r="C114" s="384"/>
      <c r="D114" s="776"/>
      <c r="G114" s="385"/>
      <c r="H114" s="385"/>
      <c r="I114" s="385"/>
      <c r="J114" s="385"/>
      <c r="K114" s="385"/>
      <c r="L114" s="385"/>
      <c r="M114" s="385"/>
      <c r="N114" s="385"/>
      <c r="O114" s="385"/>
      <c r="P114" s="385"/>
      <c r="Q114" s="385"/>
    </row>
    <row r="115" spans="2:17" x14ac:dyDescent="0.25">
      <c r="B115" s="386"/>
      <c r="C115" s="384"/>
      <c r="D115" s="776"/>
      <c r="G115" s="385"/>
      <c r="H115" s="385"/>
      <c r="I115" s="385"/>
      <c r="J115" s="385"/>
      <c r="K115" s="385"/>
      <c r="L115" s="385"/>
      <c r="M115" s="385"/>
      <c r="N115" s="385"/>
      <c r="O115" s="385"/>
      <c r="P115" s="385"/>
      <c r="Q115" s="385"/>
    </row>
    <row r="116" spans="2:17" x14ac:dyDescent="0.25">
      <c r="B116" s="386"/>
      <c r="C116" s="384"/>
      <c r="D116" s="776"/>
      <c r="G116" s="385"/>
      <c r="H116" s="385"/>
      <c r="I116" s="385"/>
      <c r="J116" s="385"/>
      <c r="K116" s="385"/>
      <c r="L116" s="385"/>
      <c r="M116" s="385"/>
      <c r="N116" s="385"/>
      <c r="O116" s="385"/>
      <c r="P116" s="385"/>
      <c r="Q116" s="385"/>
    </row>
    <row r="117" spans="2:17" x14ac:dyDescent="0.25">
      <c r="B117" s="388"/>
      <c r="C117" s="384"/>
      <c r="D117" s="776"/>
      <c r="G117" s="385"/>
      <c r="H117" s="385"/>
      <c r="I117" s="385"/>
      <c r="J117" s="385"/>
      <c r="K117" s="385"/>
      <c r="L117" s="385"/>
      <c r="M117" s="385"/>
      <c r="N117" s="385"/>
      <c r="O117" s="385"/>
      <c r="P117" s="385"/>
      <c r="Q117" s="385"/>
    </row>
    <row r="118" spans="2:17" x14ac:dyDescent="0.25">
      <c r="B118" s="386"/>
      <c r="C118" s="384"/>
      <c r="D118" s="776"/>
      <c r="G118" s="385"/>
      <c r="H118" s="385"/>
      <c r="I118" s="385"/>
      <c r="J118" s="385"/>
      <c r="K118" s="385"/>
      <c r="L118" s="385"/>
      <c r="M118" s="385"/>
      <c r="N118" s="385"/>
      <c r="O118" s="385"/>
      <c r="P118" s="385"/>
      <c r="Q118" s="385"/>
    </row>
    <row r="119" spans="2:17" x14ac:dyDescent="0.25">
      <c r="B119" s="386"/>
      <c r="C119" s="384"/>
      <c r="D119" s="776"/>
      <c r="G119" s="385"/>
      <c r="H119" s="385"/>
      <c r="I119" s="385"/>
      <c r="J119" s="385"/>
      <c r="K119" s="385"/>
      <c r="L119" s="385"/>
      <c r="M119" s="385"/>
      <c r="N119" s="385"/>
      <c r="O119" s="385"/>
      <c r="P119" s="385"/>
      <c r="Q119" s="385"/>
    </row>
    <row r="120" spans="2:17" x14ac:dyDescent="0.25">
      <c r="B120" s="386"/>
      <c r="C120" s="384"/>
      <c r="D120" s="776"/>
      <c r="G120" s="385"/>
      <c r="H120" s="385"/>
      <c r="I120" s="385"/>
      <c r="J120" s="385"/>
      <c r="K120" s="385"/>
      <c r="L120" s="385"/>
      <c r="M120" s="385"/>
      <c r="N120" s="385"/>
      <c r="O120" s="385"/>
      <c r="P120" s="385"/>
      <c r="Q120" s="385"/>
    </row>
    <row r="121" spans="2:17" x14ac:dyDescent="0.25">
      <c r="B121" s="386"/>
      <c r="C121" s="384"/>
      <c r="D121" s="776"/>
      <c r="G121" s="385"/>
      <c r="H121" s="385"/>
      <c r="I121" s="385"/>
      <c r="J121" s="385"/>
      <c r="K121" s="385"/>
      <c r="L121" s="385"/>
      <c r="M121" s="385"/>
      <c r="N121" s="385"/>
      <c r="O121" s="385"/>
      <c r="P121" s="385"/>
      <c r="Q121" s="385"/>
    </row>
    <row r="122" spans="2:17" x14ac:dyDescent="0.25">
      <c r="B122" s="386"/>
      <c r="C122" s="384"/>
      <c r="D122" s="776"/>
      <c r="G122" s="385"/>
      <c r="H122" s="385"/>
      <c r="I122" s="385"/>
      <c r="J122" s="385"/>
      <c r="K122" s="385"/>
      <c r="L122" s="385"/>
      <c r="M122" s="385"/>
      <c r="N122" s="385"/>
      <c r="O122" s="385"/>
      <c r="P122" s="385"/>
      <c r="Q122" s="385"/>
    </row>
    <row r="123" spans="2:17" x14ac:dyDescent="0.25">
      <c r="B123" s="386"/>
      <c r="C123" s="384"/>
      <c r="D123" s="776"/>
      <c r="G123" s="385"/>
      <c r="H123" s="385"/>
      <c r="I123" s="385"/>
      <c r="J123" s="385"/>
      <c r="K123" s="385"/>
      <c r="L123" s="385"/>
      <c r="M123" s="385"/>
      <c r="N123" s="385"/>
      <c r="O123" s="385"/>
      <c r="P123" s="385"/>
      <c r="Q123" s="385"/>
    </row>
    <row r="124" spans="2:17" x14ac:dyDescent="0.25">
      <c r="B124" s="386"/>
      <c r="C124" s="384"/>
      <c r="D124" s="776"/>
      <c r="G124" s="385"/>
      <c r="H124" s="385"/>
      <c r="I124" s="385"/>
      <c r="J124" s="385"/>
      <c r="K124" s="385"/>
      <c r="L124" s="385"/>
      <c r="M124" s="385"/>
      <c r="N124" s="385"/>
      <c r="O124" s="385"/>
      <c r="P124" s="385"/>
      <c r="Q124" s="385"/>
    </row>
    <row r="125" spans="2:17" x14ac:dyDescent="0.25">
      <c r="B125" s="386"/>
      <c r="C125" s="384"/>
      <c r="D125" s="776"/>
      <c r="G125" s="385"/>
      <c r="H125" s="385"/>
      <c r="I125" s="385"/>
      <c r="J125" s="385"/>
      <c r="K125" s="385"/>
      <c r="L125" s="385"/>
      <c r="M125" s="385"/>
      <c r="N125" s="385"/>
      <c r="O125" s="385"/>
      <c r="P125" s="385"/>
      <c r="Q125" s="385"/>
    </row>
    <row r="126" spans="2:17" x14ac:dyDescent="0.25">
      <c r="B126" s="389"/>
      <c r="C126" s="384"/>
      <c r="D126" s="776"/>
      <c r="G126" s="385"/>
      <c r="H126" s="385"/>
      <c r="I126" s="385"/>
      <c r="J126" s="385"/>
      <c r="K126" s="385"/>
      <c r="L126" s="385"/>
      <c r="M126" s="385"/>
      <c r="N126" s="385"/>
      <c r="O126" s="385"/>
      <c r="P126" s="385"/>
      <c r="Q126" s="385"/>
    </row>
    <row r="127" spans="2:17" x14ac:dyDescent="0.25">
      <c r="C127" s="384"/>
      <c r="D127" s="776"/>
      <c r="G127" s="385"/>
      <c r="H127" s="385"/>
      <c r="I127" s="385"/>
      <c r="J127" s="385"/>
      <c r="K127" s="385"/>
      <c r="L127" s="385"/>
      <c r="M127" s="385"/>
      <c r="N127" s="385"/>
      <c r="O127" s="385"/>
      <c r="P127" s="385"/>
      <c r="Q127" s="385"/>
    </row>
    <row r="128" spans="2:17" x14ac:dyDescent="0.25">
      <c r="B128" s="389"/>
      <c r="C128" s="384"/>
      <c r="D128" s="776"/>
      <c r="G128" s="385"/>
      <c r="H128" s="385"/>
      <c r="I128" s="385"/>
      <c r="J128" s="385"/>
      <c r="K128" s="385"/>
      <c r="L128" s="385"/>
      <c r="M128" s="385"/>
      <c r="N128" s="385"/>
      <c r="O128" s="385"/>
      <c r="P128" s="385"/>
      <c r="Q128" s="385"/>
    </row>
    <row r="129" spans="2:17" x14ac:dyDescent="0.25">
      <c r="C129" s="384"/>
      <c r="D129" s="776"/>
      <c r="G129" s="385"/>
      <c r="H129" s="385"/>
      <c r="I129" s="385"/>
      <c r="J129" s="385"/>
      <c r="K129" s="385"/>
      <c r="L129" s="385"/>
      <c r="M129" s="385"/>
      <c r="N129" s="385"/>
      <c r="O129" s="385"/>
      <c r="P129" s="385"/>
      <c r="Q129" s="385"/>
    </row>
    <row r="130" spans="2:17" x14ac:dyDescent="0.25">
      <c r="B130" s="386"/>
      <c r="C130" s="384"/>
      <c r="D130" s="776"/>
      <c r="G130" s="385"/>
      <c r="H130" s="385"/>
      <c r="I130" s="385"/>
      <c r="J130" s="385"/>
      <c r="K130" s="385"/>
      <c r="L130" s="385"/>
      <c r="M130" s="385"/>
      <c r="N130" s="385"/>
      <c r="O130" s="385"/>
      <c r="P130" s="385"/>
      <c r="Q130" s="385"/>
    </row>
    <row r="131" spans="2:17" x14ac:dyDescent="0.25">
      <c r="B131" s="386"/>
      <c r="C131" s="384"/>
      <c r="D131" s="776"/>
      <c r="G131" s="385"/>
      <c r="H131" s="385"/>
      <c r="I131" s="385"/>
      <c r="J131" s="385"/>
      <c r="K131" s="385"/>
      <c r="L131" s="385"/>
      <c r="M131" s="385"/>
      <c r="N131" s="385"/>
      <c r="O131" s="385"/>
      <c r="P131" s="385"/>
      <c r="Q131" s="385"/>
    </row>
    <row r="132" spans="2:17" x14ac:dyDescent="0.25">
      <c r="B132" s="386"/>
      <c r="C132" s="384"/>
      <c r="D132" s="776"/>
      <c r="G132" s="385"/>
      <c r="H132" s="385"/>
      <c r="I132" s="385"/>
      <c r="J132" s="385"/>
      <c r="K132" s="385"/>
      <c r="L132" s="385"/>
      <c r="M132" s="385"/>
      <c r="N132" s="385"/>
      <c r="O132" s="385"/>
      <c r="P132" s="385"/>
      <c r="Q132" s="385"/>
    </row>
    <row r="133" spans="2:17" x14ac:dyDescent="0.25">
      <c r="B133" s="389"/>
      <c r="C133" s="384"/>
      <c r="D133" s="776"/>
      <c r="G133" s="385"/>
      <c r="H133" s="385"/>
      <c r="I133" s="385"/>
      <c r="J133" s="385"/>
      <c r="K133" s="385"/>
      <c r="L133" s="385"/>
      <c r="M133" s="385"/>
      <c r="N133" s="385"/>
      <c r="O133" s="385"/>
      <c r="P133" s="385"/>
      <c r="Q133" s="385"/>
    </row>
    <row r="134" spans="2:17" x14ac:dyDescent="0.25">
      <c r="C134" s="384"/>
      <c r="D134" s="776"/>
      <c r="G134" s="385"/>
      <c r="H134" s="385"/>
      <c r="I134" s="385"/>
      <c r="J134" s="385"/>
      <c r="K134" s="385"/>
      <c r="L134" s="385"/>
      <c r="M134" s="385"/>
      <c r="N134" s="385"/>
      <c r="O134" s="385"/>
      <c r="P134" s="385"/>
      <c r="Q134" s="385"/>
    </row>
    <row r="135" spans="2:17" x14ac:dyDescent="0.25">
      <c r="B135" s="386"/>
      <c r="C135" s="384"/>
      <c r="D135" s="776"/>
      <c r="G135" s="385"/>
      <c r="H135" s="385"/>
      <c r="I135" s="385"/>
      <c r="J135" s="385"/>
      <c r="K135" s="385"/>
      <c r="L135" s="385"/>
      <c r="M135" s="385"/>
      <c r="N135" s="385"/>
      <c r="O135" s="385"/>
      <c r="P135" s="385"/>
      <c r="Q135" s="385"/>
    </row>
    <row r="136" spans="2:17" x14ac:dyDescent="0.25">
      <c r="B136" s="386"/>
      <c r="C136" s="384"/>
      <c r="D136" s="776"/>
      <c r="G136" s="385"/>
      <c r="H136" s="385"/>
      <c r="I136" s="385"/>
      <c r="J136" s="385"/>
      <c r="K136" s="385"/>
      <c r="L136" s="385"/>
      <c r="M136" s="385"/>
      <c r="N136" s="385"/>
      <c r="O136" s="385"/>
      <c r="P136" s="385"/>
      <c r="Q136" s="385"/>
    </row>
    <row r="137" spans="2:17" x14ac:dyDescent="0.25">
      <c r="B137" s="389"/>
      <c r="C137" s="384"/>
      <c r="D137" s="776"/>
      <c r="G137" s="385"/>
      <c r="H137" s="385"/>
      <c r="I137" s="385"/>
      <c r="J137" s="385"/>
      <c r="K137" s="385"/>
      <c r="L137" s="385"/>
      <c r="M137" s="385"/>
      <c r="N137" s="385"/>
      <c r="O137" s="385"/>
      <c r="P137" s="385"/>
      <c r="Q137" s="385"/>
    </row>
    <row r="138" spans="2:17" x14ac:dyDescent="0.25">
      <c r="C138" s="384"/>
      <c r="D138" s="776"/>
      <c r="G138" s="385"/>
      <c r="H138" s="385"/>
      <c r="I138" s="385"/>
      <c r="J138" s="385"/>
      <c r="K138" s="385"/>
      <c r="L138" s="385"/>
      <c r="M138" s="385"/>
      <c r="N138" s="385"/>
      <c r="O138" s="385"/>
      <c r="P138" s="385"/>
      <c r="Q138" s="385"/>
    </row>
    <row r="139" spans="2:17" x14ac:dyDescent="0.25">
      <c r="B139" s="388"/>
      <c r="C139" s="390"/>
      <c r="D139" s="777"/>
      <c r="G139" s="385"/>
      <c r="H139" s="385"/>
      <c r="I139" s="385"/>
      <c r="J139" s="385"/>
      <c r="K139" s="385"/>
      <c r="L139" s="385"/>
      <c r="M139" s="385"/>
      <c r="N139" s="385"/>
      <c r="O139" s="385"/>
      <c r="P139" s="385"/>
      <c r="Q139" s="385"/>
    </row>
    <row r="140" spans="2:17" x14ac:dyDescent="0.25">
      <c r="B140" s="389"/>
      <c r="C140" s="384"/>
      <c r="D140" s="776"/>
      <c r="G140" s="385"/>
      <c r="H140" s="385"/>
      <c r="I140" s="385"/>
      <c r="J140" s="385"/>
      <c r="K140" s="385"/>
      <c r="L140" s="385"/>
      <c r="M140" s="385"/>
      <c r="N140" s="385"/>
      <c r="O140" s="385"/>
      <c r="P140" s="385"/>
      <c r="Q140" s="385"/>
    </row>
    <row r="141" spans="2:17" x14ac:dyDescent="0.25">
      <c r="B141" s="389"/>
      <c r="C141" s="384"/>
      <c r="D141" s="776"/>
      <c r="G141" s="385"/>
      <c r="H141" s="385"/>
      <c r="I141" s="385"/>
      <c r="J141" s="385"/>
      <c r="K141" s="385"/>
      <c r="L141" s="385"/>
      <c r="M141" s="385"/>
      <c r="N141" s="385"/>
      <c r="O141" s="385"/>
      <c r="P141" s="385"/>
      <c r="Q141" s="385"/>
    </row>
    <row r="142" spans="2:17" x14ac:dyDescent="0.25">
      <c r="C142" s="384"/>
      <c r="D142" s="776"/>
      <c r="G142" s="385"/>
      <c r="H142" s="385"/>
      <c r="I142" s="385"/>
      <c r="J142" s="385"/>
      <c r="K142" s="385"/>
      <c r="L142" s="385"/>
      <c r="M142" s="385"/>
      <c r="N142" s="385"/>
      <c r="O142" s="385"/>
      <c r="P142" s="385"/>
      <c r="Q142" s="385"/>
    </row>
    <row r="143" spans="2:17" x14ac:dyDescent="0.25">
      <c r="G143" s="385"/>
      <c r="H143" s="385"/>
      <c r="I143" s="385"/>
      <c r="J143" s="385"/>
      <c r="K143" s="385"/>
      <c r="L143" s="385"/>
      <c r="M143" s="385"/>
      <c r="N143" s="385"/>
      <c r="O143" s="385"/>
      <c r="P143" s="385"/>
      <c r="Q143" s="385"/>
    </row>
    <row r="144" spans="2:17" x14ac:dyDescent="0.25">
      <c r="C144" s="390"/>
      <c r="D144" s="777"/>
      <c r="G144" s="391"/>
      <c r="H144" s="391"/>
      <c r="I144" s="391"/>
      <c r="J144" s="391"/>
      <c r="K144" s="391"/>
      <c r="L144" s="391"/>
      <c r="M144" s="391"/>
      <c r="N144" s="391"/>
      <c r="O144" s="391"/>
      <c r="P144" s="391"/>
      <c r="Q144" s="391"/>
    </row>
    <row r="145" spans="1:17" x14ac:dyDescent="0.25">
      <c r="C145" s="390"/>
      <c r="D145" s="777"/>
      <c r="G145" s="391"/>
      <c r="H145" s="391"/>
      <c r="I145" s="391"/>
      <c r="J145" s="391"/>
      <c r="K145" s="391"/>
      <c r="L145" s="391"/>
      <c r="M145" s="391"/>
      <c r="N145" s="391"/>
      <c r="O145" s="391"/>
      <c r="P145" s="391"/>
      <c r="Q145" s="391"/>
    </row>
    <row r="147" spans="1:17" x14ac:dyDescent="0.25">
      <c r="A147" s="381"/>
      <c r="C147" s="381"/>
      <c r="D147" s="775"/>
      <c r="E147" s="382"/>
    </row>
    <row r="148" spans="1:17" x14ac:dyDescent="0.25">
      <c r="B148" s="386"/>
      <c r="C148" s="384"/>
      <c r="D148" s="776"/>
      <c r="E148" s="380"/>
      <c r="G148" s="385"/>
      <c r="H148" s="385"/>
      <c r="I148" s="385"/>
      <c r="J148" s="385"/>
      <c r="K148" s="385"/>
      <c r="L148" s="385"/>
      <c r="M148" s="385"/>
      <c r="N148" s="385"/>
      <c r="O148" s="385"/>
      <c r="P148" s="385"/>
      <c r="Q148" s="385"/>
    </row>
    <row r="149" spans="1:17" x14ac:dyDescent="0.25">
      <c r="B149" s="386"/>
      <c r="C149" s="384"/>
      <c r="D149" s="776"/>
      <c r="E149" s="380"/>
      <c r="F149" s="380"/>
      <c r="G149" s="387"/>
      <c r="H149" s="387"/>
      <c r="I149" s="387"/>
      <c r="J149" s="387"/>
      <c r="K149" s="387"/>
      <c r="L149" s="387"/>
      <c r="M149" s="387"/>
      <c r="N149" s="387"/>
      <c r="O149" s="387"/>
      <c r="P149" s="387"/>
      <c r="Q149" s="387"/>
    </row>
    <row r="150" spans="1:17" x14ac:dyDescent="0.25">
      <c r="B150" s="386"/>
      <c r="C150" s="384"/>
      <c r="D150" s="776"/>
      <c r="G150" s="385"/>
      <c r="H150" s="385"/>
      <c r="I150" s="385"/>
      <c r="J150" s="385"/>
      <c r="K150" s="385"/>
      <c r="L150" s="385"/>
      <c r="M150" s="385"/>
      <c r="N150" s="385"/>
      <c r="O150" s="385"/>
      <c r="P150" s="385"/>
      <c r="Q150" s="385"/>
    </row>
    <row r="151" spans="1:17" x14ac:dyDescent="0.25">
      <c r="B151" s="386"/>
      <c r="C151" s="384"/>
      <c r="D151" s="776"/>
      <c r="G151" s="385"/>
      <c r="H151" s="385"/>
      <c r="I151" s="385"/>
      <c r="J151" s="385"/>
      <c r="K151" s="385"/>
      <c r="L151" s="385"/>
      <c r="M151" s="385"/>
      <c r="N151" s="385"/>
      <c r="O151" s="385"/>
      <c r="P151" s="385"/>
      <c r="Q151" s="385"/>
    </row>
    <row r="152" spans="1:17" x14ac:dyDescent="0.25">
      <c r="B152" s="386"/>
      <c r="C152" s="384"/>
      <c r="D152" s="776"/>
      <c r="G152" s="385"/>
      <c r="H152" s="385"/>
      <c r="I152" s="385"/>
      <c r="J152" s="385"/>
      <c r="K152" s="385"/>
      <c r="L152" s="385"/>
      <c r="M152" s="385"/>
      <c r="N152" s="385"/>
      <c r="O152" s="385"/>
      <c r="P152" s="385"/>
      <c r="Q152" s="385"/>
    </row>
    <row r="153" spans="1:17" x14ac:dyDescent="0.25">
      <c r="B153" s="386"/>
      <c r="C153" s="384"/>
      <c r="D153" s="776"/>
      <c r="G153" s="385"/>
      <c r="H153" s="385"/>
      <c r="I153" s="385"/>
      <c r="J153" s="385"/>
      <c r="K153" s="385"/>
      <c r="L153" s="385"/>
      <c r="M153" s="385"/>
      <c r="N153" s="385"/>
      <c r="O153" s="385"/>
      <c r="P153" s="385"/>
      <c r="Q153" s="385"/>
    </row>
    <row r="154" spans="1:17" x14ac:dyDescent="0.25">
      <c r="B154" s="388"/>
      <c r="C154" s="384"/>
      <c r="D154" s="776"/>
      <c r="G154" s="385"/>
      <c r="H154" s="385"/>
      <c r="I154" s="385"/>
      <c r="J154" s="385"/>
      <c r="K154" s="385"/>
      <c r="L154" s="385"/>
      <c r="M154" s="385"/>
      <c r="N154" s="385"/>
      <c r="O154" s="385"/>
      <c r="P154" s="385"/>
      <c r="Q154" s="385"/>
    </row>
    <row r="155" spans="1:17" x14ac:dyDescent="0.25">
      <c r="C155" s="384"/>
      <c r="D155" s="776"/>
      <c r="G155" s="385"/>
      <c r="H155" s="385"/>
      <c r="I155" s="385"/>
      <c r="J155" s="385"/>
      <c r="K155" s="385"/>
      <c r="L155" s="385"/>
      <c r="M155" s="385"/>
      <c r="N155" s="385"/>
      <c r="O155" s="385"/>
      <c r="P155" s="385"/>
      <c r="Q155" s="385"/>
    </row>
    <row r="156" spans="1:17" x14ac:dyDescent="0.25">
      <c r="B156" s="386"/>
      <c r="C156" s="384"/>
      <c r="D156" s="776"/>
      <c r="G156" s="385"/>
      <c r="H156" s="385"/>
      <c r="I156" s="385"/>
      <c r="J156" s="385"/>
      <c r="K156" s="385"/>
      <c r="L156" s="385"/>
      <c r="M156" s="385"/>
      <c r="N156" s="385"/>
      <c r="O156" s="385"/>
      <c r="P156" s="385"/>
      <c r="Q156" s="385"/>
    </row>
    <row r="157" spans="1:17" x14ac:dyDescent="0.25">
      <c r="B157" s="386"/>
      <c r="C157" s="384"/>
      <c r="D157" s="776"/>
      <c r="G157" s="385"/>
      <c r="H157" s="385"/>
      <c r="I157" s="385"/>
      <c r="J157" s="385"/>
      <c r="K157" s="385"/>
      <c r="L157" s="385"/>
      <c r="M157" s="385"/>
      <c r="N157" s="385"/>
      <c r="O157" s="385"/>
      <c r="P157" s="385"/>
      <c r="Q157" s="385"/>
    </row>
    <row r="158" spans="1:17" x14ac:dyDescent="0.25">
      <c r="B158" s="386"/>
      <c r="C158" s="384"/>
      <c r="D158" s="776"/>
      <c r="G158" s="385"/>
      <c r="H158" s="385"/>
      <c r="I158" s="385"/>
      <c r="J158" s="385"/>
      <c r="K158" s="385"/>
      <c r="L158" s="385"/>
      <c r="M158" s="385"/>
      <c r="N158" s="385"/>
      <c r="O158" s="385"/>
      <c r="P158" s="385"/>
      <c r="Q158" s="385"/>
    </row>
    <row r="159" spans="1:17" x14ac:dyDescent="0.25">
      <c r="B159" s="386"/>
      <c r="C159" s="384"/>
      <c r="D159" s="776"/>
      <c r="G159" s="385"/>
      <c r="H159" s="385"/>
      <c r="I159" s="385"/>
      <c r="J159" s="385"/>
      <c r="K159" s="385"/>
      <c r="L159" s="385"/>
      <c r="M159" s="385"/>
      <c r="N159" s="385"/>
      <c r="O159" s="385"/>
      <c r="P159" s="385"/>
      <c r="Q159" s="385"/>
    </row>
    <row r="160" spans="1:17" x14ac:dyDescent="0.25">
      <c r="C160" s="384"/>
      <c r="D160" s="776"/>
      <c r="G160" s="385"/>
      <c r="H160" s="385"/>
      <c r="I160" s="385"/>
      <c r="J160" s="385"/>
      <c r="K160" s="385"/>
      <c r="L160" s="385"/>
      <c r="M160" s="385"/>
      <c r="N160" s="385"/>
      <c r="O160" s="385"/>
      <c r="P160" s="385"/>
      <c r="Q160" s="385"/>
    </row>
    <row r="161" spans="2:17" x14ac:dyDescent="0.25">
      <c r="B161" s="386"/>
      <c r="C161" s="384"/>
      <c r="D161" s="776"/>
      <c r="G161" s="385"/>
      <c r="H161" s="385"/>
      <c r="I161" s="385"/>
      <c r="J161" s="385"/>
      <c r="K161" s="385"/>
      <c r="L161" s="385"/>
      <c r="M161" s="385"/>
      <c r="N161" s="385"/>
      <c r="O161" s="385"/>
      <c r="P161" s="385"/>
      <c r="Q161" s="385"/>
    </row>
    <row r="162" spans="2:17" x14ac:dyDescent="0.25">
      <c r="B162" s="386"/>
      <c r="C162" s="384"/>
      <c r="D162" s="776"/>
      <c r="G162" s="385"/>
      <c r="H162" s="385"/>
      <c r="I162" s="385"/>
      <c r="J162" s="385"/>
      <c r="K162" s="385"/>
      <c r="L162" s="385"/>
      <c r="M162" s="385"/>
      <c r="N162" s="385"/>
      <c r="O162" s="385"/>
      <c r="P162" s="385"/>
      <c r="Q162" s="385"/>
    </row>
    <row r="163" spans="2:17" x14ac:dyDescent="0.25">
      <c r="B163" s="386"/>
      <c r="C163" s="384"/>
      <c r="D163" s="776"/>
      <c r="G163" s="385"/>
      <c r="H163" s="385"/>
      <c r="I163" s="385"/>
      <c r="J163" s="385"/>
      <c r="K163" s="385"/>
      <c r="L163" s="385"/>
      <c r="M163" s="385"/>
      <c r="N163" s="385"/>
      <c r="O163" s="385"/>
      <c r="P163" s="385"/>
      <c r="Q163" s="385"/>
    </row>
    <row r="164" spans="2:17" x14ac:dyDescent="0.25">
      <c r="B164" s="388"/>
      <c r="C164" s="384"/>
      <c r="D164" s="776"/>
      <c r="G164" s="385"/>
      <c r="H164" s="385"/>
      <c r="I164" s="385"/>
      <c r="J164" s="385"/>
      <c r="K164" s="385"/>
      <c r="L164" s="385"/>
      <c r="M164" s="385"/>
      <c r="N164" s="385"/>
      <c r="O164" s="385"/>
      <c r="P164" s="385"/>
      <c r="Q164" s="385"/>
    </row>
    <row r="165" spans="2:17" x14ac:dyDescent="0.25">
      <c r="B165" s="386"/>
      <c r="C165" s="384"/>
      <c r="D165" s="776"/>
      <c r="G165" s="385"/>
      <c r="H165" s="385"/>
      <c r="I165" s="385"/>
      <c r="J165" s="385"/>
      <c r="K165" s="385"/>
      <c r="L165" s="385"/>
      <c r="M165" s="385"/>
      <c r="N165" s="385"/>
      <c r="O165" s="385"/>
      <c r="P165" s="385"/>
      <c r="Q165" s="385"/>
    </row>
    <row r="166" spans="2:17" x14ac:dyDescent="0.25">
      <c r="B166" s="386"/>
      <c r="C166" s="384"/>
      <c r="D166" s="776"/>
      <c r="G166" s="385"/>
      <c r="H166" s="385"/>
      <c r="I166" s="385"/>
      <c r="J166" s="385"/>
      <c r="K166" s="385"/>
      <c r="L166" s="385"/>
      <c r="M166" s="385"/>
      <c r="N166" s="385"/>
      <c r="O166" s="385"/>
      <c r="P166" s="385"/>
      <c r="Q166" s="385"/>
    </row>
    <row r="167" spans="2:17" x14ac:dyDescent="0.25">
      <c r="B167" s="386"/>
      <c r="C167" s="384"/>
      <c r="D167" s="776"/>
      <c r="G167" s="385"/>
      <c r="H167" s="385"/>
      <c r="I167" s="385"/>
      <c r="J167" s="385"/>
      <c r="K167" s="385"/>
      <c r="L167" s="385"/>
      <c r="M167" s="385"/>
      <c r="N167" s="385"/>
      <c r="O167" s="385"/>
      <c r="P167" s="385"/>
      <c r="Q167" s="385"/>
    </row>
    <row r="168" spans="2:17" x14ac:dyDescent="0.25">
      <c r="B168" s="386"/>
      <c r="C168" s="384"/>
      <c r="D168" s="776"/>
      <c r="G168" s="385"/>
      <c r="H168" s="385"/>
      <c r="I168" s="385"/>
      <c r="J168" s="385"/>
      <c r="K168" s="385"/>
      <c r="L168" s="385"/>
      <c r="M168" s="385"/>
      <c r="N168" s="385"/>
      <c r="O168" s="385"/>
      <c r="P168" s="385"/>
      <c r="Q168" s="385"/>
    </row>
    <row r="169" spans="2:17" x14ac:dyDescent="0.25">
      <c r="B169" s="386"/>
      <c r="C169" s="384"/>
      <c r="D169" s="776"/>
      <c r="G169" s="385"/>
      <c r="H169" s="385"/>
      <c r="I169" s="385"/>
      <c r="J169" s="385"/>
      <c r="K169" s="385"/>
      <c r="L169" s="385"/>
      <c r="M169" s="385"/>
      <c r="N169" s="385"/>
      <c r="O169" s="385"/>
      <c r="P169" s="385"/>
      <c r="Q169" s="385"/>
    </row>
    <row r="170" spans="2:17" x14ac:dyDescent="0.25">
      <c r="B170" s="386"/>
      <c r="C170" s="384"/>
      <c r="D170" s="776"/>
      <c r="G170" s="385"/>
      <c r="H170" s="385"/>
      <c r="I170" s="385"/>
      <c r="J170" s="385"/>
      <c r="K170" s="385"/>
      <c r="L170" s="385"/>
      <c r="M170" s="385"/>
      <c r="N170" s="385"/>
      <c r="O170" s="385"/>
      <c r="P170" s="385"/>
      <c r="Q170" s="385"/>
    </row>
    <row r="171" spans="2:17" x14ac:dyDescent="0.25">
      <c r="B171" s="386"/>
      <c r="C171" s="384"/>
      <c r="D171" s="776"/>
      <c r="G171" s="385"/>
      <c r="H171" s="385"/>
      <c r="I171" s="385"/>
      <c r="J171" s="385"/>
      <c r="K171" s="385"/>
      <c r="L171" s="385"/>
      <c r="M171" s="385"/>
      <c r="N171" s="385"/>
      <c r="O171" s="385"/>
      <c r="P171" s="385"/>
      <c r="Q171" s="385"/>
    </row>
    <row r="172" spans="2:17" x14ac:dyDescent="0.25">
      <c r="B172" s="386"/>
      <c r="C172" s="384"/>
      <c r="D172" s="776"/>
      <c r="G172" s="385"/>
      <c r="H172" s="385"/>
      <c r="I172" s="385"/>
      <c r="J172" s="385"/>
      <c r="K172" s="385"/>
      <c r="L172" s="385"/>
      <c r="M172" s="385"/>
      <c r="N172" s="385"/>
      <c r="O172" s="385"/>
      <c r="P172" s="385"/>
      <c r="Q172" s="385"/>
    </row>
    <row r="173" spans="2:17" x14ac:dyDescent="0.25">
      <c r="B173" s="389"/>
      <c r="C173" s="384"/>
      <c r="D173" s="776"/>
      <c r="G173" s="385"/>
      <c r="H173" s="385"/>
      <c r="I173" s="385"/>
      <c r="J173" s="385"/>
      <c r="K173" s="385"/>
      <c r="L173" s="385"/>
      <c r="M173" s="385"/>
      <c r="N173" s="385"/>
      <c r="O173" s="385"/>
      <c r="P173" s="385"/>
      <c r="Q173" s="385"/>
    </row>
    <row r="174" spans="2:17" x14ac:dyDescent="0.25">
      <c r="C174" s="384"/>
      <c r="D174" s="776"/>
      <c r="G174" s="385"/>
      <c r="H174" s="385"/>
      <c r="I174" s="385"/>
      <c r="J174" s="385"/>
      <c r="K174" s="385"/>
      <c r="L174" s="385"/>
      <c r="M174" s="385"/>
      <c r="N174" s="385"/>
      <c r="O174" s="385"/>
      <c r="P174" s="385"/>
      <c r="Q174" s="385"/>
    </row>
    <row r="175" spans="2:17" x14ac:dyDescent="0.25">
      <c r="B175" s="389"/>
      <c r="C175" s="384"/>
      <c r="D175" s="776"/>
      <c r="G175" s="385"/>
      <c r="H175" s="385"/>
      <c r="I175" s="385"/>
      <c r="J175" s="385"/>
      <c r="K175" s="385"/>
      <c r="L175" s="385"/>
      <c r="M175" s="385"/>
      <c r="N175" s="385"/>
      <c r="O175" s="385"/>
      <c r="P175" s="385"/>
      <c r="Q175" s="385"/>
    </row>
    <row r="176" spans="2:17" x14ac:dyDescent="0.25">
      <c r="C176" s="384"/>
      <c r="D176" s="776"/>
      <c r="G176" s="385"/>
      <c r="H176" s="385"/>
      <c r="I176" s="385"/>
      <c r="J176" s="385"/>
      <c r="K176" s="385"/>
      <c r="L176" s="385"/>
      <c r="M176" s="385"/>
      <c r="N176" s="385"/>
      <c r="O176" s="385"/>
      <c r="P176" s="385"/>
      <c r="Q176" s="385"/>
    </row>
    <row r="177" spans="2:17" x14ac:dyDescent="0.25">
      <c r="B177" s="386"/>
      <c r="C177" s="384"/>
      <c r="D177" s="776"/>
      <c r="G177" s="385"/>
      <c r="H177" s="385"/>
      <c r="I177" s="385"/>
      <c r="J177" s="385"/>
      <c r="K177" s="385"/>
      <c r="L177" s="385"/>
      <c r="M177" s="385"/>
      <c r="N177" s="385"/>
      <c r="O177" s="385"/>
      <c r="P177" s="385"/>
      <c r="Q177" s="385"/>
    </row>
    <row r="178" spans="2:17" x14ac:dyDescent="0.25">
      <c r="B178" s="386"/>
      <c r="C178" s="384"/>
      <c r="D178" s="776"/>
      <c r="G178" s="385"/>
      <c r="H178" s="385"/>
      <c r="I178" s="385"/>
      <c r="J178" s="385"/>
      <c r="K178" s="385"/>
      <c r="L178" s="385"/>
      <c r="M178" s="385"/>
      <c r="N178" s="385"/>
      <c r="O178" s="385"/>
      <c r="P178" s="385"/>
      <c r="Q178" s="385"/>
    </row>
    <row r="179" spans="2:17" x14ac:dyDescent="0.25">
      <c r="B179" s="386"/>
      <c r="C179" s="384"/>
      <c r="D179" s="776"/>
      <c r="G179" s="385"/>
      <c r="H179" s="385"/>
      <c r="I179" s="385"/>
      <c r="J179" s="385"/>
      <c r="K179" s="385"/>
      <c r="L179" s="385"/>
      <c r="M179" s="385"/>
      <c r="N179" s="385"/>
      <c r="O179" s="385"/>
      <c r="P179" s="385"/>
      <c r="Q179" s="385"/>
    </row>
    <row r="180" spans="2:17" x14ac:dyDescent="0.25">
      <c r="B180" s="389"/>
      <c r="C180" s="384"/>
      <c r="D180" s="776"/>
      <c r="G180" s="385"/>
      <c r="H180" s="385"/>
      <c r="I180" s="385"/>
      <c r="J180" s="385"/>
      <c r="K180" s="385"/>
      <c r="L180" s="385"/>
      <c r="M180" s="385"/>
      <c r="N180" s="385"/>
      <c r="O180" s="385"/>
      <c r="P180" s="385"/>
      <c r="Q180" s="385"/>
    </row>
    <row r="181" spans="2:17" x14ac:dyDescent="0.25">
      <c r="C181" s="384"/>
      <c r="D181" s="776"/>
      <c r="G181" s="385"/>
      <c r="H181" s="385"/>
      <c r="I181" s="385"/>
      <c r="J181" s="385"/>
      <c r="K181" s="385"/>
      <c r="L181" s="385"/>
      <c r="M181" s="385"/>
      <c r="N181" s="385"/>
      <c r="O181" s="385"/>
      <c r="P181" s="385"/>
      <c r="Q181" s="385"/>
    </row>
    <row r="182" spans="2:17" x14ac:dyDescent="0.25">
      <c r="B182" s="386"/>
      <c r="C182" s="384"/>
      <c r="D182" s="776"/>
      <c r="G182" s="385"/>
      <c r="H182" s="385"/>
      <c r="I182" s="385"/>
      <c r="J182" s="385"/>
      <c r="K182" s="385"/>
      <c r="L182" s="385"/>
      <c r="M182" s="385"/>
      <c r="N182" s="385"/>
      <c r="O182" s="385"/>
      <c r="P182" s="385"/>
      <c r="Q182" s="385"/>
    </row>
    <row r="183" spans="2:17" x14ac:dyDescent="0.25">
      <c r="B183" s="386"/>
      <c r="C183" s="384"/>
      <c r="D183" s="776"/>
      <c r="G183" s="385"/>
      <c r="H183" s="385"/>
      <c r="I183" s="385"/>
      <c r="J183" s="385"/>
      <c r="K183" s="385"/>
      <c r="L183" s="385"/>
      <c r="M183" s="385"/>
      <c r="N183" s="385"/>
      <c r="O183" s="385"/>
      <c r="P183" s="385"/>
      <c r="Q183" s="385"/>
    </row>
    <row r="184" spans="2:17" x14ac:dyDescent="0.25">
      <c r="B184" s="389"/>
      <c r="C184" s="384"/>
      <c r="D184" s="776"/>
      <c r="G184" s="385"/>
      <c r="H184" s="385"/>
      <c r="I184" s="385"/>
      <c r="J184" s="385"/>
      <c r="K184" s="385"/>
      <c r="L184" s="385"/>
      <c r="M184" s="385"/>
      <c r="N184" s="385"/>
      <c r="O184" s="385"/>
      <c r="P184" s="385"/>
      <c r="Q184" s="385"/>
    </row>
    <row r="185" spans="2:17" x14ac:dyDescent="0.25">
      <c r="C185" s="384"/>
      <c r="D185" s="776"/>
      <c r="G185" s="385"/>
      <c r="H185" s="385"/>
      <c r="I185" s="385"/>
      <c r="J185" s="385"/>
      <c r="K185" s="385"/>
      <c r="L185" s="385"/>
      <c r="M185" s="385"/>
      <c r="N185" s="385"/>
      <c r="O185" s="385"/>
      <c r="P185" s="385"/>
      <c r="Q185" s="385"/>
    </row>
    <row r="186" spans="2:17" x14ac:dyDescent="0.25">
      <c r="B186" s="388"/>
      <c r="C186" s="390"/>
      <c r="D186" s="777"/>
      <c r="G186" s="385"/>
      <c r="H186" s="385"/>
      <c r="I186" s="385"/>
      <c r="J186" s="385"/>
      <c r="K186" s="385"/>
      <c r="L186" s="385"/>
      <c r="M186" s="385"/>
      <c r="N186" s="385"/>
      <c r="O186" s="385"/>
      <c r="P186" s="385"/>
      <c r="Q186" s="385"/>
    </row>
    <row r="187" spans="2:17" x14ac:dyDescent="0.25">
      <c r="B187" s="389"/>
      <c r="C187" s="384"/>
      <c r="D187" s="776"/>
      <c r="G187" s="385"/>
      <c r="H187" s="385"/>
      <c r="I187" s="385"/>
      <c r="J187" s="385"/>
      <c r="K187" s="385"/>
      <c r="L187" s="385"/>
      <c r="M187" s="385"/>
      <c r="N187" s="385"/>
      <c r="O187" s="385"/>
      <c r="P187" s="385"/>
      <c r="Q187" s="385"/>
    </row>
    <row r="188" spans="2:17" x14ac:dyDescent="0.25">
      <c r="B188" s="389"/>
      <c r="C188" s="384"/>
      <c r="D188" s="776"/>
      <c r="G188" s="385"/>
      <c r="H188" s="385"/>
      <c r="I188" s="385"/>
      <c r="J188" s="385"/>
      <c r="K188" s="385"/>
      <c r="L188" s="385"/>
      <c r="M188" s="385"/>
      <c r="N188" s="385"/>
      <c r="O188" s="385"/>
      <c r="P188" s="385"/>
      <c r="Q188" s="385"/>
    </row>
    <row r="189" spans="2:17" x14ac:dyDescent="0.25">
      <c r="C189" s="390"/>
      <c r="D189" s="777"/>
      <c r="G189" s="385"/>
      <c r="H189" s="385"/>
      <c r="I189" s="385"/>
      <c r="J189" s="385"/>
      <c r="K189" s="385"/>
      <c r="L189" s="385"/>
      <c r="M189" s="385"/>
      <c r="N189" s="385"/>
      <c r="O189" s="385"/>
      <c r="P189" s="385"/>
      <c r="Q189" s="385"/>
    </row>
    <row r="190" spans="2:17" x14ac:dyDescent="0.25">
      <c r="G190" s="385"/>
      <c r="H190" s="385"/>
      <c r="I190" s="385"/>
      <c r="J190" s="385"/>
      <c r="K190" s="385"/>
      <c r="L190" s="385"/>
      <c r="M190" s="385"/>
      <c r="N190" s="385"/>
      <c r="O190" s="385"/>
      <c r="P190" s="385"/>
      <c r="Q190" s="385"/>
    </row>
    <row r="191" spans="2:17" x14ac:dyDescent="0.25">
      <c r="O191" s="391"/>
      <c r="P191" s="391"/>
      <c r="Q191" s="391"/>
    </row>
    <row r="193" spans="1:17" x14ac:dyDescent="0.25">
      <c r="A193" s="381"/>
      <c r="C193" s="381"/>
      <c r="D193" s="775"/>
      <c r="E193" s="382"/>
    </row>
    <row r="194" spans="1:17" x14ac:dyDescent="0.25">
      <c r="B194" s="386"/>
      <c r="C194" s="384"/>
      <c r="D194" s="776"/>
      <c r="E194" s="380"/>
      <c r="G194" s="385"/>
      <c r="H194" s="385"/>
      <c r="I194" s="385"/>
      <c r="J194" s="385"/>
      <c r="K194" s="385"/>
      <c r="L194" s="385"/>
      <c r="M194" s="385"/>
      <c r="N194" s="385"/>
      <c r="O194" s="385"/>
      <c r="P194" s="385"/>
      <c r="Q194" s="385"/>
    </row>
    <row r="195" spans="1:17" x14ac:dyDescent="0.25">
      <c r="B195" s="386"/>
      <c r="C195" s="384"/>
      <c r="D195" s="776"/>
      <c r="E195" s="380"/>
      <c r="F195" s="380"/>
      <c r="G195" s="387"/>
      <c r="H195" s="387"/>
      <c r="I195" s="387"/>
      <c r="J195" s="387"/>
      <c r="K195" s="387"/>
      <c r="L195" s="387"/>
      <c r="M195" s="387"/>
      <c r="N195" s="387"/>
      <c r="O195" s="387"/>
      <c r="P195" s="387"/>
      <c r="Q195" s="387"/>
    </row>
    <row r="196" spans="1:17" x14ac:dyDescent="0.25">
      <c r="B196" s="386"/>
      <c r="C196" s="384"/>
      <c r="D196" s="776"/>
      <c r="G196" s="385"/>
      <c r="H196" s="385"/>
      <c r="I196" s="385"/>
      <c r="J196" s="385"/>
      <c r="K196" s="385"/>
      <c r="L196" s="385"/>
      <c r="M196" s="385"/>
      <c r="N196" s="385"/>
      <c r="O196" s="385"/>
      <c r="P196" s="385"/>
      <c r="Q196" s="385"/>
    </row>
    <row r="197" spans="1:17" x14ac:dyDescent="0.25">
      <c r="B197" s="386"/>
      <c r="C197" s="384"/>
      <c r="D197" s="776"/>
      <c r="G197" s="385"/>
      <c r="H197" s="385"/>
      <c r="I197" s="385"/>
      <c r="J197" s="385"/>
      <c r="K197" s="385"/>
      <c r="L197" s="385"/>
      <c r="M197" s="385"/>
      <c r="N197" s="385"/>
      <c r="O197" s="385"/>
      <c r="P197" s="385"/>
      <c r="Q197" s="385"/>
    </row>
    <row r="198" spans="1:17" x14ac:dyDescent="0.25">
      <c r="B198" s="386"/>
      <c r="C198" s="384"/>
      <c r="D198" s="776"/>
      <c r="G198" s="385"/>
      <c r="H198" s="385"/>
      <c r="I198" s="385"/>
      <c r="J198" s="385"/>
      <c r="K198" s="385"/>
      <c r="L198" s="385"/>
      <c r="M198" s="385"/>
      <c r="N198" s="385"/>
      <c r="O198" s="385"/>
      <c r="P198" s="385"/>
      <c r="Q198" s="385"/>
    </row>
    <row r="199" spans="1:17" x14ac:dyDescent="0.25">
      <c r="B199" s="386"/>
      <c r="C199" s="384"/>
      <c r="D199" s="776"/>
      <c r="G199" s="385"/>
      <c r="H199" s="385"/>
      <c r="I199" s="385"/>
      <c r="J199" s="385"/>
      <c r="K199" s="385"/>
      <c r="L199" s="385"/>
      <c r="M199" s="385"/>
      <c r="N199" s="385"/>
      <c r="O199" s="385"/>
      <c r="P199" s="385"/>
      <c r="Q199" s="385"/>
    </row>
    <row r="200" spans="1:17" x14ac:dyDescent="0.25">
      <c r="B200" s="388"/>
      <c r="C200" s="384"/>
      <c r="D200" s="776"/>
      <c r="G200" s="385"/>
      <c r="H200" s="385"/>
      <c r="I200" s="385"/>
      <c r="J200" s="385"/>
      <c r="K200" s="385"/>
      <c r="L200" s="385"/>
      <c r="M200" s="385"/>
      <c r="N200" s="385"/>
      <c r="O200" s="385"/>
      <c r="P200" s="385"/>
      <c r="Q200" s="385"/>
    </row>
    <row r="201" spans="1:17" x14ac:dyDescent="0.25">
      <c r="C201" s="384"/>
      <c r="D201" s="776"/>
      <c r="G201" s="385"/>
      <c r="H201" s="385"/>
      <c r="I201" s="385"/>
      <c r="J201" s="385"/>
      <c r="K201" s="385"/>
      <c r="L201" s="385"/>
      <c r="M201" s="385"/>
      <c r="N201" s="385"/>
      <c r="O201" s="385"/>
      <c r="P201" s="385"/>
      <c r="Q201" s="385"/>
    </row>
    <row r="202" spans="1:17" x14ac:dyDescent="0.25">
      <c r="B202" s="386"/>
      <c r="C202" s="384"/>
      <c r="D202" s="776"/>
      <c r="G202" s="385"/>
      <c r="H202" s="385"/>
      <c r="I202" s="385"/>
      <c r="J202" s="385"/>
      <c r="K202" s="385"/>
      <c r="L202" s="385"/>
      <c r="M202" s="385"/>
      <c r="N202" s="385"/>
      <c r="O202" s="385"/>
      <c r="P202" s="385"/>
      <c r="Q202" s="385"/>
    </row>
    <row r="203" spans="1:17" x14ac:dyDescent="0.25">
      <c r="B203" s="386"/>
      <c r="C203" s="384"/>
      <c r="D203" s="776"/>
      <c r="G203" s="385"/>
      <c r="H203" s="385"/>
      <c r="I203" s="385"/>
      <c r="J203" s="385"/>
      <c r="K203" s="385"/>
      <c r="L203" s="385"/>
      <c r="M203" s="385"/>
      <c r="N203" s="385"/>
      <c r="O203" s="385"/>
      <c r="P203" s="385"/>
      <c r="Q203" s="385"/>
    </row>
    <row r="204" spans="1:17" x14ac:dyDescent="0.25">
      <c r="B204" s="386"/>
      <c r="C204" s="384"/>
      <c r="D204" s="776"/>
      <c r="G204" s="385"/>
      <c r="H204" s="385"/>
      <c r="I204" s="385"/>
      <c r="J204" s="385"/>
      <c r="K204" s="385"/>
      <c r="L204" s="385"/>
      <c r="M204" s="385"/>
      <c r="N204" s="385"/>
      <c r="O204" s="385"/>
      <c r="P204" s="385"/>
      <c r="Q204" s="385"/>
    </row>
    <row r="205" spans="1:17" x14ac:dyDescent="0.25">
      <c r="B205" s="386"/>
      <c r="C205" s="384"/>
      <c r="D205" s="776"/>
      <c r="G205" s="385"/>
      <c r="H205" s="385"/>
      <c r="I205" s="385"/>
      <c r="J205" s="385"/>
      <c r="K205" s="385"/>
      <c r="L205" s="385"/>
      <c r="M205" s="385"/>
      <c r="N205" s="385"/>
      <c r="O205" s="385"/>
      <c r="P205" s="385"/>
      <c r="Q205" s="385"/>
    </row>
    <row r="206" spans="1:17" x14ac:dyDescent="0.25">
      <c r="C206" s="384"/>
      <c r="D206" s="776"/>
      <c r="G206" s="385"/>
      <c r="H206" s="385"/>
      <c r="I206" s="385"/>
      <c r="J206" s="385"/>
      <c r="K206" s="385"/>
      <c r="L206" s="385"/>
      <c r="M206" s="385"/>
      <c r="N206" s="385"/>
      <c r="O206" s="385"/>
      <c r="P206" s="385"/>
      <c r="Q206" s="385"/>
    </row>
    <row r="207" spans="1:17" x14ac:dyDescent="0.25">
      <c r="B207" s="386"/>
      <c r="C207" s="384"/>
      <c r="D207" s="776"/>
      <c r="G207" s="385"/>
      <c r="H207" s="385"/>
      <c r="I207" s="385"/>
      <c r="J207" s="385"/>
      <c r="K207" s="385"/>
      <c r="L207" s="385"/>
      <c r="M207" s="385"/>
      <c r="N207" s="385"/>
      <c r="O207" s="385"/>
      <c r="P207" s="385"/>
      <c r="Q207" s="385"/>
    </row>
    <row r="208" spans="1:17" x14ac:dyDescent="0.25">
      <c r="B208" s="386"/>
      <c r="C208" s="384"/>
      <c r="D208" s="776"/>
      <c r="G208" s="385"/>
      <c r="H208" s="385"/>
      <c r="I208" s="385"/>
      <c r="J208" s="385"/>
      <c r="K208" s="385"/>
      <c r="L208" s="385"/>
      <c r="M208" s="385"/>
      <c r="N208" s="385"/>
      <c r="O208" s="385"/>
      <c r="P208" s="385"/>
      <c r="Q208" s="385"/>
    </row>
    <row r="209" spans="2:17" x14ac:dyDescent="0.25">
      <c r="B209" s="386"/>
      <c r="C209" s="384"/>
      <c r="D209" s="776"/>
      <c r="G209" s="385"/>
      <c r="H209" s="385"/>
      <c r="I209" s="385"/>
      <c r="J209" s="385"/>
      <c r="K209" s="385"/>
      <c r="L209" s="385"/>
      <c r="M209" s="385"/>
      <c r="N209" s="385"/>
      <c r="O209" s="385"/>
      <c r="P209" s="385"/>
      <c r="Q209" s="385"/>
    </row>
    <row r="210" spans="2:17" x14ac:dyDescent="0.25">
      <c r="B210" s="388"/>
      <c r="C210" s="384"/>
      <c r="D210" s="776"/>
      <c r="G210" s="385"/>
      <c r="H210" s="385"/>
      <c r="I210" s="385"/>
      <c r="J210" s="385"/>
      <c r="K210" s="385"/>
      <c r="L210" s="385"/>
      <c r="M210" s="385"/>
      <c r="N210" s="385"/>
      <c r="O210" s="385"/>
      <c r="P210" s="385"/>
      <c r="Q210" s="385"/>
    </row>
    <row r="211" spans="2:17" x14ac:dyDescent="0.25">
      <c r="B211" s="386"/>
      <c r="C211" s="384"/>
      <c r="D211" s="776"/>
      <c r="G211" s="385"/>
      <c r="H211" s="385"/>
      <c r="I211" s="385"/>
      <c r="J211" s="385"/>
      <c r="K211" s="385"/>
      <c r="L211" s="385"/>
      <c r="M211" s="385"/>
      <c r="N211" s="385"/>
      <c r="O211" s="385"/>
      <c r="P211" s="385"/>
      <c r="Q211" s="385"/>
    </row>
    <row r="212" spans="2:17" x14ac:dyDescent="0.25">
      <c r="B212" s="386"/>
      <c r="C212" s="384"/>
      <c r="D212" s="776"/>
      <c r="G212" s="385"/>
      <c r="H212" s="385"/>
      <c r="I212" s="385"/>
      <c r="J212" s="385"/>
      <c r="K212" s="385"/>
      <c r="L212" s="385"/>
      <c r="M212" s="385"/>
      <c r="N212" s="385"/>
      <c r="O212" s="385"/>
      <c r="P212" s="385"/>
      <c r="Q212" s="385"/>
    </row>
    <row r="213" spans="2:17" x14ac:dyDescent="0.25">
      <c r="B213" s="386"/>
      <c r="C213" s="384"/>
      <c r="D213" s="776"/>
      <c r="G213" s="385"/>
      <c r="H213" s="385"/>
      <c r="I213" s="385"/>
      <c r="J213" s="385"/>
      <c r="K213" s="385"/>
      <c r="L213" s="385"/>
      <c r="M213" s="385"/>
      <c r="N213" s="385"/>
      <c r="O213" s="385"/>
      <c r="P213" s="385"/>
      <c r="Q213" s="385"/>
    </row>
    <row r="214" spans="2:17" x14ac:dyDescent="0.25">
      <c r="B214" s="386"/>
      <c r="C214" s="384"/>
      <c r="D214" s="776"/>
      <c r="G214" s="385"/>
      <c r="H214" s="385"/>
      <c r="I214" s="385"/>
      <c r="J214" s="385"/>
      <c r="K214" s="385"/>
      <c r="L214" s="385"/>
      <c r="M214" s="385"/>
      <c r="N214" s="385"/>
      <c r="O214" s="385"/>
      <c r="P214" s="385"/>
      <c r="Q214" s="385"/>
    </row>
    <row r="215" spans="2:17" x14ac:dyDescent="0.25">
      <c r="B215" s="386"/>
      <c r="C215" s="384"/>
      <c r="D215" s="776"/>
      <c r="G215" s="385"/>
      <c r="H215" s="385"/>
      <c r="I215" s="385"/>
      <c r="J215" s="385"/>
      <c r="K215" s="385"/>
      <c r="L215" s="385"/>
      <c r="M215" s="385"/>
      <c r="N215" s="385"/>
      <c r="O215" s="385"/>
      <c r="P215" s="385"/>
      <c r="Q215" s="385"/>
    </row>
    <row r="216" spans="2:17" x14ac:dyDescent="0.25">
      <c r="B216" s="386"/>
      <c r="C216" s="384"/>
      <c r="D216" s="776"/>
      <c r="G216" s="385"/>
      <c r="H216" s="385"/>
      <c r="I216" s="385"/>
      <c r="J216" s="385"/>
      <c r="K216" s="385"/>
      <c r="L216" s="385"/>
      <c r="M216" s="385"/>
      <c r="N216" s="385"/>
      <c r="O216" s="385"/>
      <c r="P216" s="385"/>
      <c r="Q216" s="385"/>
    </row>
    <row r="217" spans="2:17" x14ac:dyDescent="0.25">
      <c r="B217" s="386"/>
      <c r="C217" s="384"/>
      <c r="D217" s="776"/>
      <c r="G217" s="385"/>
      <c r="H217" s="385"/>
      <c r="I217" s="385"/>
      <c r="J217" s="385"/>
      <c r="K217" s="385"/>
      <c r="L217" s="385"/>
      <c r="M217" s="385"/>
      <c r="N217" s="385"/>
      <c r="O217" s="385"/>
      <c r="P217" s="385"/>
      <c r="Q217" s="385"/>
    </row>
    <row r="218" spans="2:17" x14ac:dyDescent="0.25">
      <c r="B218" s="386"/>
      <c r="C218" s="384"/>
      <c r="D218" s="776"/>
      <c r="G218" s="385"/>
      <c r="H218" s="385"/>
      <c r="I218" s="385"/>
      <c r="J218" s="385"/>
      <c r="K218" s="385"/>
      <c r="L218" s="385"/>
      <c r="M218" s="385"/>
      <c r="N218" s="385"/>
      <c r="O218" s="385"/>
      <c r="P218" s="385"/>
      <c r="Q218" s="385"/>
    </row>
    <row r="219" spans="2:17" x14ac:dyDescent="0.25">
      <c r="B219" s="389"/>
      <c r="C219" s="384"/>
      <c r="D219" s="776"/>
      <c r="G219" s="385"/>
      <c r="H219" s="385"/>
      <c r="I219" s="385"/>
      <c r="J219" s="385"/>
      <c r="K219" s="385"/>
      <c r="L219" s="385"/>
      <c r="M219" s="385"/>
      <c r="N219" s="385"/>
      <c r="O219" s="385"/>
      <c r="P219" s="385"/>
      <c r="Q219" s="385"/>
    </row>
    <row r="220" spans="2:17" x14ac:dyDescent="0.25">
      <c r="C220" s="384"/>
      <c r="D220" s="776"/>
      <c r="G220" s="385"/>
      <c r="H220" s="385"/>
      <c r="I220" s="385"/>
      <c r="J220" s="385"/>
      <c r="K220" s="385"/>
      <c r="L220" s="385"/>
      <c r="M220" s="385"/>
      <c r="N220" s="385"/>
      <c r="O220" s="385"/>
      <c r="P220" s="385"/>
      <c r="Q220" s="385"/>
    </row>
    <row r="221" spans="2:17" x14ac:dyDescent="0.25">
      <c r="B221" s="389"/>
      <c r="C221" s="384"/>
      <c r="D221" s="776"/>
      <c r="G221" s="385"/>
      <c r="H221" s="385"/>
      <c r="I221" s="385"/>
      <c r="J221" s="385"/>
      <c r="K221" s="385"/>
      <c r="L221" s="385"/>
      <c r="M221" s="385"/>
      <c r="N221" s="385"/>
      <c r="O221" s="385"/>
      <c r="P221" s="385"/>
      <c r="Q221" s="385"/>
    </row>
    <row r="222" spans="2:17" x14ac:dyDescent="0.25">
      <c r="C222" s="384"/>
      <c r="D222" s="776"/>
      <c r="G222" s="385"/>
      <c r="H222" s="385"/>
      <c r="I222" s="385"/>
      <c r="J222" s="385"/>
      <c r="K222" s="385"/>
      <c r="L222" s="385"/>
      <c r="M222" s="385"/>
      <c r="N222" s="385"/>
      <c r="O222" s="385"/>
      <c r="P222" s="385"/>
      <c r="Q222" s="385"/>
    </row>
    <row r="223" spans="2:17" x14ac:dyDescent="0.25">
      <c r="B223" s="386"/>
      <c r="C223" s="384"/>
      <c r="D223" s="776"/>
      <c r="G223" s="385"/>
      <c r="H223" s="385"/>
      <c r="I223" s="385"/>
      <c r="J223" s="385"/>
      <c r="K223" s="385"/>
      <c r="L223" s="385"/>
      <c r="M223" s="385"/>
      <c r="N223" s="385"/>
      <c r="O223" s="385"/>
      <c r="P223" s="385"/>
      <c r="Q223" s="385"/>
    </row>
    <row r="224" spans="2:17" x14ac:dyDescent="0.25">
      <c r="B224" s="386"/>
      <c r="C224" s="384"/>
      <c r="D224" s="776"/>
      <c r="G224" s="385"/>
      <c r="H224" s="385"/>
      <c r="I224" s="385"/>
      <c r="J224" s="385"/>
      <c r="K224" s="385"/>
      <c r="L224" s="385"/>
      <c r="M224" s="385"/>
      <c r="N224" s="385"/>
      <c r="O224" s="385"/>
      <c r="P224" s="385"/>
      <c r="Q224" s="385"/>
    </row>
    <row r="225" spans="1:17" x14ac:dyDescent="0.25">
      <c r="B225" s="386"/>
      <c r="C225" s="384"/>
      <c r="D225" s="776"/>
      <c r="G225" s="385"/>
      <c r="H225" s="385"/>
      <c r="I225" s="385"/>
      <c r="J225" s="385"/>
      <c r="K225" s="385"/>
      <c r="L225" s="385"/>
      <c r="M225" s="385"/>
      <c r="N225" s="385"/>
      <c r="O225" s="385"/>
      <c r="P225" s="385"/>
      <c r="Q225" s="385"/>
    </row>
    <row r="226" spans="1:17" x14ac:dyDescent="0.25">
      <c r="B226" s="389"/>
      <c r="C226" s="384"/>
      <c r="D226" s="776"/>
      <c r="G226" s="385"/>
      <c r="H226" s="385"/>
      <c r="I226" s="385"/>
      <c r="J226" s="385"/>
      <c r="K226" s="385"/>
      <c r="L226" s="385"/>
      <c r="M226" s="385"/>
      <c r="N226" s="385"/>
      <c r="O226" s="385"/>
      <c r="P226" s="385"/>
      <c r="Q226" s="385"/>
    </row>
    <row r="227" spans="1:17" x14ac:dyDescent="0.25">
      <c r="C227" s="384"/>
      <c r="D227" s="776"/>
      <c r="G227" s="385"/>
      <c r="H227" s="385"/>
      <c r="I227" s="385"/>
      <c r="J227" s="385"/>
      <c r="K227" s="385"/>
      <c r="L227" s="385"/>
      <c r="M227" s="385"/>
      <c r="N227" s="385"/>
      <c r="O227" s="385"/>
      <c r="P227" s="385"/>
      <c r="Q227" s="385"/>
    </row>
    <row r="228" spans="1:17" x14ac:dyDescent="0.25">
      <c r="B228" s="386"/>
      <c r="C228" s="384"/>
      <c r="D228" s="776"/>
      <c r="G228" s="385"/>
      <c r="H228" s="385"/>
      <c r="I228" s="385"/>
      <c r="J228" s="385"/>
      <c r="K228" s="385"/>
      <c r="L228" s="385"/>
      <c r="M228" s="385"/>
      <c r="N228" s="385"/>
      <c r="O228" s="385"/>
      <c r="P228" s="385"/>
      <c r="Q228" s="385"/>
    </row>
    <row r="229" spans="1:17" x14ac:dyDescent="0.25">
      <c r="B229" s="386"/>
      <c r="C229" s="384"/>
      <c r="D229" s="776"/>
      <c r="G229" s="385"/>
      <c r="H229" s="385"/>
      <c r="I229" s="385"/>
      <c r="J229" s="385"/>
      <c r="K229" s="385"/>
      <c r="L229" s="385"/>
      <c r="M229" s="385"/>
      <c r="N229" s="385"/>
      <c r="O229" s="385"/>
      <c r="P229" s="385"/>
      <c r="Q229" s="385"/>
    </row>
    <row r="230" spans="1:17" x14ac:dyDescent="0.25">
      <c r="B230" s="389"/>
      <c r="C230" s="384"/>
      <c r="D230" s="776"/>
      <c r="G230" s="385"/>
      <c r="H230" s="385"/>
      <c r="I230" s="385"/>
      <c r="J230" s="385"/>
      <c r="K230" s="385"/>
      <c r="L230" s="385"/>
      <c r="M230" s="385"/>
      <c r="N230" s="385"/>
      <c r="O230" s="385"/>
      <c r="P230" s="385"/>
      <c r="Q230" s="385"/>
    </row>
    <row r="231" spans="1:17" x14ac:dyDescent="0.25">
      <c r="C231" s="384"/>
      <c r="D231" s="776"/>
      <c r="G231" s="385"/>
      <c r="H231" s="385"/>
      <c r="I231" s="385"/>
      <c r="J231" s="385"/>
      <c r="K231" s="385"/>
      <c r="L231" s="385"/>
      <c r="M231" s="385"/>
      <c r="N231" s="385"/>
      <c r="O231" s="385"/>
      <c r="P231" s="385"/>
      <c r="Q231" s="385"/>
    </row>
    <row r="232" spans="1:17" x14ac:dyDescent="0.25">
      <c r="B232" s="388"/>
      <c r="C232" s="390"/>
      <c r="D232" s="777"/>
      <c r="G232" s="385"/>
      <c r="H232" s="385"/>
      <c r="I232" s="385"/>
      <c r="J232" s="385"/>
      <c r="K232" s="385"/>
      <c r="L232" s="385"/>
      <c r="M232" s="385"/>
      <c r="N232" s="385"/>
      <c r="O232" s="385"/>
      <c r="P232" s="385"/>
      <c r="Q232" s="385"/>
    </row>
    <row r="233" spans="1:17" x14ac:dyDescent="0.25">
      <c r="B233" s="389"/>
      <c r="C233" s="384"/>
      <c r="D233" s="776"/>
      <c r="G233" s="385"/>
      <c r="H233" s="385"/>
      <c r="I233" s="385"/>
      <c r="J233" s="385"/>
      <c r="K233" s="385"/>
      <c r="L233" s="385"/>
      <c r="M233" s="385"/>
      <c r="N233" s="385"/>
      <c r="O233" s="385"/>
      <c r="P233" s="385"/>
      <c r="Q233" s="385"/>
    </row>
    <row r="234" spans="1:17" x14ac:dyDescent="0.25">
      <c r="B234" s="389"/>
      <c r="C234" s="384"/>
      <c r="D234" s="776"/>
      <c r="G234" s="385"/>
      <c r="H234" s="385"/>
      <c r="I234" s="385"/>
      <c r="J234" s="385"/>
      <c r="K234" s="385"/>
      <c r="L234" s="385"/>
      <c r="M234" s="385"/>
      <c r="N234" s="385"/>
      <c r="O234" s="385"/>
      <c r="P234" s="385"/>
      <c r="Q234" s="385"/>
    </row>
    <row r="235" spans="1:17" x14ac:dyDescent="0.25">
      <c r="C235" s="390"/>
      <c r="D235" s="777"/>
      <c r="G235" s="385"/>
      <c r="H235" s="385"/>
      <c r="I235" s="385"/>
      <c r="J235" s="385"/>
      <c r="K235" s="385"/>
      <c r="L235" s="385"/>
      <c r="M235" s="385"/>
      <c r="N235" s="385"/>
      <c r="O235" s="385"/>
      <c r="P235" s="385"/>
      <c r="Q235" s="385"/>
    </row>
    <row r="236" spans="1:17" x14ac:dyDescent="0.25">
      <c r="G236" s="385"/>
      <c r="H236" s="385"/>
      <c r="I236" s="385"/>
      <c r="J236" s="385"/>
      <c r="K236" s="385"/>
      <c r="L236" s="385"/>
      <c r="M236" s="385"/>
      <c r="N236" s="385"/>
      <c r="O236" s="385"/>
      <c r="P236" s="385"/>
      <c r="Q236" s="385"/>
    </row>
    <row r="237" spans="1:17" x14ac:dyDescent="0.25">
      <c r="O237" s="391"/>
      <c r="P237" s="391"/>
      <c r="Q237" s="391"/>
    </row>
    <row r="240" spans="1:17" x14ac:dyDescent="0.25">
      <c r="A240" s="381"/>
      <c r="C240" s="381"/>
      <c r="D240" s="775"/>
      <c r="E240" s="382"/>
    </row>
    <row r="241" spans="2:17" x14ac:dyDescent="0.25">
      <c r="B241" s="386"/>
      <c r="C241" s="384"/>
      <c r="D241" s="776"/>
      <c r="E241" s="380"/>
      <c r="G241" s="385"/>
      <c r="H241" s="385"/>
      <c r="I241" s="385"/>
      <c r="J241" s="385"/>
      <c r="K241" s="385"/>
      <c r="L241" s="385"/>
      <c r="M241" s="385"/>
      <c r="N241" s="385"/>
      <c r="O241" s="385"/>
      <c r="P241" s="385"/>
      <c r="Q241" s="385"/>
    </row>
    <row r="242" spans="2:17" x14ac:dyDescent="0.25">
      <c r="B242" s="386"/>
      <c r="C242" s="384"/>
      <c r="D242" s="776"/>
      <c r="E242" s="380"/>
      <c r="F242" s="380"/>
      <c r="G242" s="387"/>
      <c r="H242" s="387"/>
      <c r="I242" s="387"/>
      <c r="J242" s="387"/>
      <c r="K242" s="387"/>
      <c r="L242" s="387"/>
      <c r="M242" s="387"/>
      <c r="N242" s="387"/>
      <c r="O242" s="387"/>
      <c r="P242" s="387"/>
      <c r="Q242" s="387"/>
    </row>
    <row r="243" spans="2:17" x14ac:dyDescent="0.25">
      <c r="B243" s="386"/>
      <c r="C243" s="384"/>
      <c r="D243" s="776"/>
      <c r="G243" s="385"/>
      <c r="H243" s="385"/>
      <c r="I243" s="385"/>
      <c r="J243" s="385"/>
      <c r="K243" s="385"/>
      <c r="L243" s="385"/>
      <c r="M243" s="385"/>
      <c r="N243" s="385"/>
      <c r="O243" s="385"/>
      <c r="P243" s="385"/>
      <c r="Q243" s="385"/>
    </row>
    <row r="244" spans="2:17" x14ac:dyDescent="0.25">
      <c r="B244" s="386"/>
      <c r="C244" s="384"/>
      <c r="D244" s="776"/>
      <c r="G244" s="385"/>
      <c r="H244" s="385"/>
      <c r="I244" s="385"/>
      <c r="J244" s="385"/>
      <c r="K244" s="385"/>
      <c r="L244" s="385"/>
      <c r="M244" s="385"/>
      <c r="N244" s="385"/>
      <c r="O244" s="385"/>
      <c r="P244" s="385"/>
      <c r="Q244" s="385"/>
    </row>
    <row r="245" spans="2:17" x14ac:dyDescent="0.25">
      <c r="B245" s="386"/>
      <c r="C245" s="384"/>
      <c r="D245" s="776"/>
      <c r="G245" s="385"/>
      <c r="H245" s="385"/>
      <c r="I245" s="385"/>
      <c r="J245" s="385"/>
      <c r="K245" s="385"/>
      <c r="L245" s="385"/>
      <c r="M245" s="385"/>
      <c r="N245" s="385"/>
      <c r="O245" s="385"/>
      <c r="P245" s="385"/>
      <c r="Q245" s="385"/>
    </row>
    <row r="246" spans="2:17" x14ac:dyDescent="0.25">
      <c r="B246" s="386"/>
      <c r="C246" s="384"/>
      <c r="D246" s="776"/>
      <c r="G246" s="385"/>
      <c r="H246" s="385"/>
      <c r="I246" s="385"/>
      <c r="J246" s="385"/>
      <c r="K246" s="385"/>
      <c r="L246" s="385"/>
      <c r="M246" s="385"/>
      <c r="N246" s="385"/>
      <c r="O246" s="385"/>
      <c r="P246" s="385"/>
      <c r="Q246" s="385"/>
    </row>
    <row r="247" spans="2:17" x14ac:dyDescent="0.25">
      <c r="B247" s="388"/>
      <c r="C247" s="384"/>
      <c r="D247" s="776"/>
      <c r="G247" s="385"/>
      <c r="H247" s="385"/>
      <c r="I247" s="385"/>
      <c r="J247" s="385"/>
      <c r="K247" s="385"/>
      <c r="L247" s="385"/>
      <c r="M247" s="385"/>
      <c r="N247" s="385"/>
      <c r="O247" s="385"/>
      <c r="P247" s="385"/>
      <c r="Q247" s="385"/>
    </row>
    <row r="248" spans="2:17" x14ac:dyDescent="0.25">
      <c r="C248" s="384"/>
      <c r="D248" s="776"/>
      <c r="G248" s="385"/>
      <c r="H248" s="385"/>
      <c r="I248" s="385"/>
      <c r="J248" s="385"/>
      <c r="K248" s="385"/>
      <c r="L248" s="385"/>
      <c r="M248" s="385"/>
      <c r="N248" s="385"/>
      <c r="O248" s="385"/>
      <c r="P248" s="385"/>
      <c r="Q248" s="385"/>
    </row>
    <row r="249" spans="2:17" x14ac:dyDescent="0.25">
      <c r="B249" s="386"/>
      <c r="C249" s="384"/>
      <c r="D249" s="776"/>
      <c r="G249" s="385"/>
      <c r="H249" s="385"/>
      <c r="I249" s="385"/>
      <c r="J249" s="385"/>
      <c r="K249" s="385"/>
      <c r="L249" s="385"/>
      <c r="M249" s="385"/>
      <c r="N249" s="385"/>
      <c r="O249" s="385"/>
      <c r="P249" s="385"/>
      <c r="Q249" s="385"/>
    </row>
    <row r="250" spans="2:17" x14ac:dyDescent="0.25">
      <c r="B250" s="386"/>
      <c r="C250" s="384"/>
      <c r="D250" s="776"/>
      <c r="G250" s="385"/>
      <c r="H250" s="385"/>
      <c r="I250" s="385"/>
      <c r="J250" s="385"/>
      <c r="K250" s="385"/>
      <c r="L250" s="385"/>
      <c r="M250" s="385"/>
      <c r="N250" s="385"/>
      <c r="O250" s="385"/>
      <c r="P250" s="385"/>
      <c r="Q250" s="385"/>
    </row>
    <row r="251" spans="2:17" x14ac:dyDescent="0.25">
      <c r="B251" s="386"/>
      <c r="C251" s="384"/>
      <c r="D251" s="776"/>
      <c r="G251" s="385"/>
      <c r="H251" s="385"/>
      <c r="I251" s="385"/>
      <c r="J251" s="385"/>
      <c r="K251" s="385"/>
      <c r="L251" s="385"/>
      <c r="M251" s="385"/>
      <c r="N251" s="385"/>
      <c r="O251" s="385"/>
      <c r="P251" s="385"/>
      <c r="Q251" s="385"/>
    </row>
    <row r="252" spans="2:17" x14ac:dyDescent="0.25">
      <c r="B252" s="386"/>
      <c r="C252" s="384"/>
      <c r="D252" s="776"/>
      <c r="G252" s="385"/>
      <c r="H252" s="385"/>
      <c r="I252" s="385"/>
      <c r="J252" s="385"/>
      <c r="K252" s="385"/>
      <c r="L252" s="385"/>
      <c r="M252" s="385"/>
      <c r="N252" s="385"/>
      <c r="O252" s="385"/>
      <c r="P252" s="385"/>
      <c r="Q252" s="385"/>
    </row>
    <row r="253" spans="2:17" x14ac:dyDescent="0.25">
      <c r="C253" s="384"/>
      <c r="D253" s="776"/>
      <c r="G253" s="385"/>
      <c r="H253" s="385"/>
      <c r="I253" s="385"/>
      <c r="J253" s="385"/>
      <c r="K253" s="385"/>
      <c r="L253" s="385"/>
      <c r="M253" s="385"/>
      <c r="N253" s="385"/>
      <c r="O253" s="385"/>
      <c r="P253" s="385"/>
      <c r="Q253" s="385"/>
    </row>
    <row r="254" spans="2:17" x14ac:dyDescent="0.25">
      <c r="B254" s="386"/>
      <c r="C254" s="384"/>
      <c r="D254" s="776"/>
      <c r="G254" s="385"/>
      <c r="H254" s="385"/>
      <c r="I254" s="385"/>
      <c r="J254" s="385"/>
      <c r="K254" s="385"/>
      <c r="L254" s="385"/>
      <c r="M254" s="385"/>
      <c r="N254" s="385"/>
      <c r="O254" s="385"/>
      <c r="P254" s="385"/>
      <c r="Q254" s="385"/>
    </row>
    <row r="255" spans="2:17" x14ac:dyDescent="0.25">
      <c r="B255" s="386"/>
      <c r="C255" s="384"/>
      <c r="D255" s="776"/>
      <c r="G255" s="385"/>
      <c r="H255" s="385"/>
      <c r="I255" s="385"/>
      <c r="J255" s="385"/>
      <c r="K255" s="385"/>
      <c r="L255" s="385"/>
      <c r="M255" s="385"/>
      <c r="N255" s="385"/>
      <c r="O255" s="385"/>
      <c r="P255" s="385"/>
      <c r="Q255" s="385"/>
    </row>
    <row r="256" spans="2:17" x14ac:dyDescent="0.25">
      <c r="B256" s="386"/>
      <c r="C256" s="384"/>
      <c r="D256" s="776"/>
      <c r="G256" s="385"/>
      <c r="H256" s="385"/>
      <c r="I256" s="385"/>
      <c r="J256" s="385"/>
      <c r="K256" s="385"/>
      <c r="L256" s="385"/>
      <c r="M256" s="385"/>
      <c r="N256" s="385"/>
      <c r="O256" s="385"/>
      <c r="P256" s="385"/>
      <c r="Q256" s="385"/>
    </row>
    <row r="257" spans="2:17" x14ac:dyDescent="0.25">
      <c r="B257" s="388"/>
      <c r="C257" s="384"/>
      <c r="D257" s="776"/>
      <c r="G257" s="385"/>
      <c r="H257" s="385"/>
      <c r="I257" s="385"/>
      <c r="J257" s="385"/>
      <c r="K257" s="385"/>
      <c r="L257" s="385"/>
      <c r="M257" s="385"/>
      <c r="N257" s="385"/>
      <c r="O257" s="385"/>
      <c r="P257" s="385"/>
      <c r="Q257" s="385"/>
    </row>
    <row r="258" spans="2:17" x14ac:dyDescent="0.25">
      <c r="B258" s="386"/>
      <c r="C258" s="384"/>
      <c r="D258" s="776"/>
      <c r="G258" s="385"/>
      <c r="H258" s="385"/>
      <c r="I258" s="385"/>
      <c r="J258" s="385"/>
      <c r="K258" s="385"/>
      <c r="L258" s="385"/>
      <c r="M258" s="385"/>
      <c r="N258" s="385"/>
      <c r="O258" s="385"/>
      <c r="P258" s="385"/>
      <c r="Q258" s="385"/>
    </row>
    <row r="259" spans="2:17" x14ac:dyDescent="0.25">
      <c r="B259" s="386"/>
      <c r="C259" s="384"/>
      <c r="D259" s="776"/>
      <c r="G259" s="385"/>
      <c r="H259" s="385"/>
      <c r="I259" s="385"/>
      <c r="J259" s="385"/>
      <c r="K259" s="385"/>
      <c r="L259" s="385"/>
      <c r="M259" s="385"/>
      <c r="N259" s="385"/>
      <c r="O259" s="385"/>
      <c r="P259" s="385"/>
      <c r="Q259" s="385"/>
    </row>
    <row r="260" spans="2:17" x14ac:dyDescent="0.25">
      <c r="B260" s="386"/>
      <c r="C260" s="384"/>
      <c r="D260" s="776"/>
      <c r="G260" s="385"/>
      <c r="H260" s="385"/>
      <c r="I260" s="385"/>
      <c r="J260" s="385"/>
      <c r="K260" s="385"/>
      <c r="L260" s="385"/>
      <c r="M260" s="385"/>
      <c r="N260" s="385"/>
      <c r="O260" s="385"/>
      <c r="P260" s="385"/>
      <c r="Q260" s="385"/>
    </row>
    <row r="261" spans="2:17" x14ac:dyDescent="0.25">
      <c r="B261" s="386"/>
      <c r="C261" s="384"/>
      <c r="D261" s="776"/>
      <c r="G261" s="385"/>
      <c r="H261" s="385"/>
      <c r="I261" s="385"/>
      <c r="J261" s="385"/>
      <c r="K261" s="385"/>
      <c r="L261" s="385"/>
      <c r="M261" s="385"/>
      <c r="N261" s="385"/>
      <c r="O261" s="385"/>
      <c r="P261" s="385"/>
      <c r="Q261" s="385"/>
    </row>
    <row r="262" spans="2:17" x14ac:dyDescent="0.25">
      <c r="B262" s="386"/>
      <c r="C262" s="384"/>
      <c r="D262" s="776"/>
      <c r="G262" s="385"/>
      <c r="H262" s="385"/>
      <c r="I262" s="385"/>
      <c r="J262" s="385"/>
      <c r="K262" s="385"/>
      <c r="L262" s="385"/>
      <c r="M262" s="385"/>
      <c r="N262" s="385"/>
      <c r="O262" s="385"/>
      <c r="P262" s="385"/>
      <c r="Q262" s="385"/>
    </row>
    <row r="263" spans="2:17" x14ac:dyDescent="0.25">
      <c r="B263" s="386"/>
      <c r="C263" s="384"/>
      <c r="D263" s="776"/>
      <c r="G263" s="385"/>
      <c r="H263" s="385"/>
      <c r="I263" s="385"/>
      <c r="J263" s="385"/>
      <c r="K263" s="385"/>
      <c r="L263" s="385"/>
      <c r="M263" s="385"/>
      <c r="N263" s="385"/>
      <c r="O263" s="385"/>
      <c r="P263" s="385"/>
      <c r="Q263" s="385"/>
    </row>
    <row r="264" spans="2:17" x14ac:dyDescent="0.25">
      <c r="B264" s="386"/>
      <c r="C264" s="384"/>
      <c r="D264" s="776"/>
      <c r="G264" s="385"/>
      <c r="H264" s="385"/>
      <c r="I264" s="385"/>
      <c r="J264" s="385"/>
      <c r="K264" s="385"/>
      <c r="L264" s="385"/>
      <c r="M264" s="385"/>
      <c r="N264" s="385"/>
      <c r="O264" s="385"/>
      <c r="P264" s="385"/>
      <c r="Q264" s="385"/>
    </row>
    <row r="265" spans="2:17" x14ac:dyDescent="0.25">
      <c r="B265" s="386"/>
      <c r="C265" s="384"/>
      <c r="D265" s="776"/>
      <c r="G265" s="385"/>
      <c r="H265" s="385"/>
      <c r="I265" s="385"/>
      <c r="J265" s="385"/>
      <c r="K265" s="385"/>
      <c r="L265" s="385"/>
      <c r="M265" s="385"/>
      <c r="N265" s="385"/>
      <c r="O265" s="385"/>
      <c r="P265" s="385"/>
      <c r="Q265" s="385"/>
    </row>
    <row r="266" spans="2:17" x14ac:dyDescent="0.25">
      <c r="B266" s="389"/>
      <c r="C266" s="384"/>
      <c r="D266" s="776"/>
      <c r="G266" s="385"/>
      <c r="H266" s="385"/>
      <c r="I266" s="385"/>
      <c r="J266" s="385"/>
      <c r="K266" s="385"/>
      <c r="L266" s="385"/>
      <c r="M266" s="385"/>
      <c r="N266" s="385"/>
      <c r="O266" s="385"/>
      <c r="P266" s="385"/>
      <c r="Q266" s="385"/>
    </row>
    <row r="267" spans="2:17" x14ac:dyDescent="0.25">
      <c r="C267" s="384"/>
      <c r="D267" s="776"/>
      <c r="G267" s="385"/>
      <c r="H267" s="385"/>
      <c r="I267" s="385"/>
      <c r="J267" s="385"/>
      <c r="K267" s="385"/>
      <c r="L267" s="385"/>
      <c r="M267" s="385"/>
      <c r="N267" s="385"/>
      <c r="O267" s="385"/>
      <c r="P267" s="385"/>
      <c r="Q267" s="385"/>
    </row>
    <row r="268" spans="2:17" x14ac:dyDescent="0.25">
      <c r="B268" s="389"/>
      <c r="C268" s="384"/>
      <c r="D268" s="776"/>
      <c r="G268" s="385"/>
      <c r="H268" s="385"/>
      <c r="I268" s="385"/>
      <c r="J268" s="385"/>
      <c r="K268" s="385"/>
      <c r="L268" s="385"/>
      <c r="M268" s="385"/>
      <c r="N268" s="385"/>
      <c r="O268" s="385"/>
      <c r="P268" s="385"/>
      <c r="Q268" s="385"/>
    </row>
    <row r="269" spans="2:17" x14ac:dyDescent="0.25">
      <c r="C269" s="384"/>
      <c r="D269" s="776"/>
      <c r="G269" s="385"/>
      <c r="H269" s="385"/>
      <c r="I269" s="385"/>
      <c r="J269" s="385"/>
      <c r="K269" s="385"/>
      <c r="L269" s="385"/>
      <c r="M269" s="385"/>
      <c r="N269" s="385"/>
      <c r="O269" s="385"/>
      <c r="P269" s="385"/>
      <c r="Q269" s="385"/>
    </row>
    <row r="270" spans="2:17" x14ac:dyDescent="0.25">
      <c r="B270" s="386"/>
      <c r="C270" s="384"/>
      <c r="D270" s="776"/>
      <c r="G270" s="385"/>
      <c r="H270" s="385"/>
      <c r="I270" s="385"/>
      <c r="J270" s="385"/>
      <c r="K270" s="385"/>
      <c r="L270" s="385"/>
      <c r="M270" s="385"/>
      <c r="N270" s="385"/>
      <c r="O270" s="385"/>
      <c r="P270" s="385"/>
      <c r="Q270" s="385"/>
    </row>
    <row r="271" spans="2:17" x14ac:dyDescent="0.25">
      <c r="B271" s="386"/>
      <c r="C271" s="384"/>
      <c r="D271" s="776"/>
      <c r="G271" s="385"/>
      <c r="H271" s="385"/>
      <c r="I271" s="385"/>
      <c r="J271" s="385"/>
      <c r="K271" s="385"/>
      <c r="L271" s="385"/>
      <c r="M271" s="385"/>
      <c r="N271" s="385"/>
      <c r="O271" s="385"/>
      <c r="P271" s="385"/>
      <c r="Q271" s="385"/>
    </row>
    <row r="272" spans="2:17" x14ac:dyDescent="0.25">
      <c r="B272" s="386"/>
      <c r="C272" s="384"/>
      <c r="D272" s="776"/>
      <c r="G272" s="385"/>
      <c r="H272" s="385"/>
      <c r="I272" s="385"/>
      <c r="J272" s="385"/>
      <c r="K272" s="385"/>
      <c r="L272" s="385"/>
      <c r="M272" s="385"/>
      <c r="N272" s="385"/>
      <c r="O272" s="385"/>
      <c r="P272" s="385"/>
      <c r="Q272" s="385"/>
    </row>
    <row r="273" spans="2:18" x14ac:dyDescent="0.25">
      <c r="B273" s="389"/>
      <c r="C273" s="384"/>
      <c r="D273" s="776"/>
      <c r="G273" s="385"/>
      <c r="H273" s="385"/>
      <c r="I273" s="385"/>
      <c r="J273" s="385"/>
      <c r="K273" s="385"/>
      <c r="L273" s="385"/>
      <c r="M273" s="385"/>
      <c r="N273" s="385"/>
      <c r="O273" s="385"/>
      <c r="P273" s="385"/>
      <c r="Q273" s="385"/>
    </row>
    <row r="274" spans="2:18" x14ac:dyDescent="0.25">
      <c r="C274" s="384"/>
      <c r="D274" s="776"/>
      <c r="G274" s="385"/>
      <c r="H274" s="385"/>
      <c r="I274" s="385"/>
      <c r="J274" s="385"/>
      <c r="K274" s="385"/>
      <c r="L274" s="385"/>
      <c r="M274" s="385"/>
      <c r="N274" s="385"/>
      <c r="O274" s="385"/>
      <c r="P274" s="385"/>
      <c r="Q274" s="385"/>
    </row>
    <row r="275" spans="2:18" x14ac:dyDescent="0.25">
      <c r="B275" s="386"/>
      <c r="C275" s="384"/>
      <c r="D275" s="776"/>
      <c r="G275" s="385"/>
      <c r="H275" s="385"/>
      <c r="I275" s="385"/>
      <c r="J275" s="385"/>
      <c r="K275" s="385"/>
      <c r="L275" s="385"/>
      <c r="M275" s="385"/>
      <c r="N275" s="385"/>
      <c r="O275" s="385"/>
      <c r="P275" s="385"/>
      <c r="Q275" s="385"/>
    </row>
    <row r="276" spans="2:18" x14ac:dyDescent="0.25">
      <c r="B276" s="386"/>
      <c r="C276" s="384"/>
      <c r="D276" s="776"/>
      <c r="G276" s="385"/>
      <c r="H276" s="385"/>
      <c r="I276" s="385"/>
      <c r="J276" s="385"/>
      <c r="K276" s="385"/>
      <c r="L276" s="385"/>
      <c r="M276" s="385"/>
      <c r="N276" s="385"/>
      <c r="O276" s="385"/>
      <c r="P276" s="385"/>
      <c r="Q276" s="385"/>
    </row>
    <row r="277" spans="2:18" x14ac:dyDescent="0.25">
      <c r="B277" s="389"/>
      <c r="C277" s="384"/>
      <c r="D277" s="776"/>
      <c r="G277" s="385"/>
      <c r="H277" s="385"/>
      <c r="I277" s="385"/>
      <c r="J277" s="385"/>
      <c r="K277" s="385"/>
      <c r="L277" s="385"/>
      <c r="M277" s="385"/>
      <c r="N277" s="385"/>
      <c r="O277" s="385"/>
      <c r="P277" s="385"/>
      <c r="Q277" s="385"/>
    </row>
    <row r="278" spans="2:18" x14ac:dyDescent="0.25">
      <c r="C278" s="384"/>
      <c r="D278" s="776"/>
      <c r="G278" s="385"/>
      <c r="H278" s="385"/>
      <c r="I278" s="385"/>
      <c r="J278" s="385"/>
      <c r="K278" s="385"/>
      <c r="L278" s="385"/>
      <c r="M278" s="385"/>
      <c r="N278" s="385"/>
      <c r="O278" s="385"/>
      <c r="P278" s="385"/>
      <c r="Q278" s="385"/>
    </row>
    <row r="279" spans="2:18" x14ac:dyDescent="0.25">
      <c r="B279" s="388"/>
      <c r="C279" s="390"/>
      <c r="D279" s="777"/>
      <c r="G279" s="385"/>
      <c r="H279" s="385"/>
      <c r="I279" s="385"/>
      <c r="J279" s="385"/>
      <c r="K279" s="385"/>
      <c r="L279" s="385"/>
      <c r="M279" s="385"/>
      <c r="N279" s="385"/>
      <c r="O279" s="385"/>
      <c r="P279" s="385"/>
      <c r="Q279" s="385"/>
    </row>
    <row r="280" spans="2:18" x14ac:dyDescent="0.25">
      <c r="B280" s="389"/>
      <c r="C280" s="384"/>
      <c r="D280" s="776"/>
      <c r="G280" s="385"/>
      <c r="H280" s="385"/>
      <c r="I280" s="385"/>
      <c r="J280" s="385"/>
      <c r="K280" s="385"/>
      <c r="L280" s="385"/>
      <c r="M280" s="385"/>
      <c r="N280" s="385"/>
      <c r="O280" s="385"/>
      <c r="P280" s="385"/>
      <c r="Q280" s="385"/>
    </row>
    <row r="281" spans="2:18" x14ac:dyDescent="0.25">
      <c r="B281" s="389"/>
      <c r="C281" s="384"/>
      <c r="D281" s="776"/>
      <c r="G281" s="385"/>
      <c r="H281" s="385"/>
      <c r="I281" s="385"/>
      <c r="J281" s="385"/>
      <c r="K281" s="385"/>
      <c r="L281" s="385"/>
      <c r="M281" s="385"/>
      <c r="N281" s="385"/>
      <c r="O281" s="385"/>
      <c r="P281" s="385"/>
      <c r="Q281" s="385"/>
    </row>
    <row r="282" spans="2:18" x14ac:dyDescent="0.25">
      <c r="C282" s="390"/>
      <c r="D282" s="777"/>
      <c r="G282" s="385"/>
      <c r="H282" s="385"/>
      <c r="I282" s="385"/>
      <c r="J282" s="385"/>
      <c r="K282" s="385"/>
      <c r="L282" s="385"/>
      <c r="M282" s="385"/>
      <c r="N282" s="385"/>
      <c r="O282" s="385"/>
      <c r="P282" s="385"/>
      <c r="Q282" s="385"/>
    </row>
    <row r="283" spans="2:18" x14ac:dyDescent="0.25">
      <c r="G283" s="385"/>
      <c r="H283" s="385"/>
      <c r="I283" s="385"/>
      <c r="J283" s="385"/>
      <c r="K283" s="385"/>
      <c r="L283" s="385"/>
      <c r="M283" s="385"/>
      <c r="N283" s="385"/>
      <c r="O283" s="385"/>
      <c r="P283" s="385"/>
      <c r="Q283" s="385"/>
    </row>
    <row r="284" spans="2:18" x14ac:dyDescent="0.25">
      <c r="O284" s="391"/>
      <c r="P284" s="391"/>
      <c r="Q284" s="391"/>
      <c r="R284" s="392"/>
    </row>
    <row r="285" spans="2:18" x14ac:dyDescent="0.25">
      <c r="O285" s="391"/>
      <c r="P285" s="391"/>
      <c r="Q285" s="391"/>
      <c r="R285" s="392"/>
    </row>
    <row r="286" spans="2:18" x14ac:dyDescent="0.25">
      <c r="O286" s="391"/>
      <c r="P286" s="391"/>
      <c r="Q286" s="391"/>
      <c r="R286" s="392"/>
    </row>
    <row r="287" spans="2:18" x14ac:dyDescent="0.25">
      <c r="O287" s="391"/>
      <c r="P287" s="391"/>
      <c r="Q287" s="391"/>
      <c r="R287" s="392"/>
    </row>
    <row r="288" spans="2:18" x14ac:dyDescent="0.25">
      <c r="O288" s="391"/>
      <c r="P288" s="391"/>
      <c r="Q288" s="391"/>
      <c r="R288" s="392"/>
    </row>
    <row r="289" spans="15:17" x14ac:dyDescent="0.25">
      <c r="O289" s="391"/>
      <c r="P289" s="391"/>
      <c r="Q289" s="391"/>
    </row>
  </sheetData>
  <protectedRanges>
    <protectedRange sqref="L18:M25" name="Range1_1"/>
  </protectedRanges>
  <mergeCells count="12">
    <mergeCell ref="A18:E18"/>
    <mergeCell ref="G18:H18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67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  <pageSetUpPr fitToPage="1"/>
  </sheetPr>
  <dimension ref="A1:N314"/>
  <sheetViews>
    <sheetView view="pageBreakPreview" zoomScale="80" zoomScaleNormal="70" zoomScaleSheetLayoutView="80" workbookViewId="0">
      <selection activeCell="J12" sqref="J12"/>
    </sheetView>
  </sheetViews>
  <sheetFormatPr defaultColWidth="10.7109375" defaultRowHeight="12.75" x14ac:dyDescent="0.25"/>
  <cols>
    <col min="1" max="1" width="10.7109375" style="360" customWidth="1"/>
    <col min="2" max="2" width="25.7109375" style="360" customWidth="1"/>
    <col min="3" max="3" width="8.42578125" style="374" customWidth="1"/>
    <col min="4" max="4" width="12.7109375" style="785" hidden="1" customWidth="1"/>
    <col min="5" max="6" width="12.7109375" style="375" customWidth="1"/>
    <col min="7" max="7" width="31.85546875" style="360" hidden="1" customWidth="1"/>
    <col min="8" max="8" width="33.28515625" style="373" customWidth="1"/>
    <col min="9" max="253" width="10.7109375" style="360"/>
    <col min="254" max="254" width="13.140625" style="360" customWidth="1"/>
    <col min="255" max="255" width="38" style="360" customWidth="1"/>
    <col min="256" max="256" width="8.42578125" style="360" customWidth="1"/>
    <col min="257" max="257" width="15.7109375" style="360" customWidth="1"/>
    <col min="258" max="258" width="18.28515625" style="360" customWidth="1"/>
    <col min="259" max="259" width="17.85546875" style="360" customWidth="1"/>
    <col min="260" max="260" width="0" style="360" hidden="1" customWidth="1"/>
    <col min="261" max="261" width="33.28515625" style="360" customWidth="1"/>
    <col min="262" max="509" width="10.7109375" style="360"/>
    <col min="510" max="510" width="13.140625" style="360" customWidth="1"/>
    <col min="511" max="511" width="38" style="360" customWidth="1"/>
    <col min="512" max="512" width="8.42578125" style="360" customWidth="1"/>
    <col min="513" max="513" width="15.7109375" style="360" customWidth="1"/>
    <col min="514" max="514" width="18.28515625" style="360" customWidth="1"/>
    <col min="515" max="515" width="17.85546875" style="360" customWidth="1"/>
    <col min="516" max="516" width="0" style="360" hidden="1" customWidth="1"/>
    <col min="517" max="517" width="33.28515625" style="360" customWidth="1"/>
    <col min="518" max="765" width="10.7109375" style="360"/>
    <col min="766" max="766" width="13.140625" style="360" customWidth="1"/>
    <col min="767" max="767" width="38" style="360" customWidth="1"/>
    <col min="768" max="768" width="8.42578125" style="360" customWidth="1"/>
    <col min="769" max="769" width="15.7109375" style="360" customWidth="1"/>
    <col min="770" max="770" width="18.28515625" style="360" customWidth="1"/>
    <col min="771" max="771" width="17.85546875" style="360" customWidth="1"/>
    <col min="772" max="772" width="0" style="360" hidden="1" customWidth="1"/>
    <col min="773" max="773" width="33.28515625" style="360" customWidth="1"/>
    <col min="774" max="1021" width="10.7109375" style="360"/>
    <col min="1022" max="1022" width="13.140625" style="360" customWidth="1"/>
    <col min="1023" max="1023" width="38" style="360" customWidth="1"/>
    <col min="1024" max="1024" width="8.42578125" style="360" customWidth="1"/>
    <col min="1025" max="1025" width="15.7109375" style="360" customWidth="1"/>
    <col min="1026" max="1026" width="18.28515625" style="360" customWidth="1"/>
    <col min="1027" max="1027" width="17.85546875" style="360" customWidth="1"/>
    <col min="1028" max="1028" width="0" style="360" hidden="1" customWidth="1"/>
    <col min="1029" max="1029" width="33.28515625" style="360" customWidth="1"/>
    <col min="1030" max="1277" width="10.7109375" style="360"/>
    <col min="1278" max="1278" width="13.140625" style="360" customWidth="1"/>
    <col min="1279" max="1279" width="38" style="360" customWidth="1"/>
    <col min="1280" max="1280" width="8.42578125" style="360" customWidth="1"/>
    <col min="1281" max="1281" width="15.7109375" style="360" customWidth="1"/>
    <col min="1282" max="1282" width="18.28515625" style="360" customWidth="1"/>
    <col min="1283" max="1283" width="17.85546875" style="360" customWidth="1"/>
    <col min="1284" max="1284" width="0" style="360" hidden="1" customWidth="1"/>
    <col min="1285" max="1285" width="33.28515625" style="360" customWidth="1"/>
    <col min="1286" max="1533" width="10.7109375" style="360"/>
    <col min="1534" max="1534" width="13.140625" style="360" customWidth="1"/>
    <col min="1535" max="1535" width="38" style="360" customWidth="1"/>
    <col min="1536" max="1536" width="8.42578125" style="360" customWidth="1"/>
    <col min="1537" max="1537" width="15.7109375" style="360" customWidth="1"/>
    <col min="1538" max="1538" width="18.28515625" style="360" customWidth="1"/>
    <col min="1539" max="1539" width="17.85546875" style="360" customWidth="1"/>
    <col min="1540" max="1540" width="0" style="360" hidden="1" customWidth="1"/>
    <col min="1541" max="1541" width="33.28515625" style="360" customWidth="1"/>
    <col min="1542" max="1789" width="10.7109375" style="360"/>
    <col min="1790" max="1790" width="13.140625" style="360" customWidth="1"/>
    <col min="1791" max="1791" width="38" style="360" customWidth="1"/>
    <col min="1792" max="1792" width="8.42578125" style="360" customWidth="1"/>
    <col min="1793" max="1793" width="15.7109375" style="360" customWidth="1"/>
    <col min="1794" max="1794" width="18.28515625" style="360" customWidth="1"/>
    <col min="1795" max="1795" width="17.85546875" style="360" customWidth="1"/>
    <col min="1796" max="1796" width="0" style="360" hidden="1" customWidth="1"/>
    <col min="1797" max="1797" width="33.28515625" style="360" customWidth="1"/>
    <col min="1798" max="2045" width="10.7109375" style="360"/>
    <col min="2046" max="2046" width="13.140625" style="360" customWidth="1"/>
    <col min="2047" max="2047" width="38" style="360" customWidth="1"/>
    <col min="2048" max="2048" width="8.42578125" style="360" customWidth="1"/>
    <col min="2049" max="2049" width="15.7109375" style="360" customWidth="1"/>
    <col min="2050" max="2050" width="18.28515625" style="360" customWidth="1"/>
    <col min="2051" max="2051" width="17.85546875" style="360" customWidth="1"/>
    <col min="2052" max="2052" width="0" style="360" hidden="1" customWidth="1"/>
    <col min="2053" max="2053" width="33.28515625" style="360" customWidth="1"/>
    <col min="2054" max="2301" width="10.7109375" style="360"/>
    <col min="2302" max="2302" width="13.140625" style="360" customWidth="1"/>
    <col min="2303" max="2303" width="38" style="360" customWidth="1"/>
    <col min="2304" max="2304" width="8.42578125" style="360" customWidth="1"/>
    <col min="2305" max="2305" width="15.7109375" style="360" customWidth="1"/>
    <col min="2306" max="2306" width="18.28515625" style="360" customWidth="1"/>
    <col min="2307" max="2307" width="17.85546875" style="360" customWidth="1"/>
    <col min="2308" max="2308" width="0" style="360" hidden="1" customWidth="1"/>
    <col min="2309" max="2309" width="33.28515625" style="360" customWidth="1"/>
    <col min="2310" max="2557" width="10.7109375" style="360"/>
    <col min="2558" max="2558" width="13.140625" style="360" customWidth="1"/>
    <col min="2559" max="2559" width="38" style="360" customWidth="1"/>
    <col min="2560" max="2560" width="8.42578125" style="360" customWidth="1"/>
    <col min="2561" max="2561" width="15.7109375" style="360" customWidth="1"/>
    <col min="2562" max="2562" width="18.28515625" style="360" customWidth="1"/>
    <col min="2563" max="2563" width="17.85546875" style="360" customWidth="1"/>
    <col min="2564" max="2564" width="0" style="360" hidden="1" customWidth="1"/>
    <col min="2565" max="2565" width="33.28515625" style="360" customWidth="1"/>
    <col min="2566" max="2813" width="10.7109375" style="360"/>
    <col min="2814" max="2814" width="13.140625" style="360" customWidth="1"/>
    <col min="2815" max="2815" width="38" style="360" customWidth="1"/>
    <col min="2816" max="2816" width="8.42578125" style="360" customWidth="1"/>
    <col min="2817" max="2817" width="15.7109375" style="360" customWidth="1"/>
    <col min="2818" max="2818" width="18.28515625" style="360" customWidth="1"/>
    <col min="2819" max="2819" width="17.85546875" style="360" customWidth="1"/>
    <col min="2820" max="2820" width="0" style="360" hidden="1" customWidth="1"/>
    <col min="2821" max="2821" width="33.28515625" style="360" customWidth="1"/>
    <col min="2822" max="3069" width="10.7109375" style="360"/>
    <col min="3070" max="3070" width="13.140625" style="360" customWidth="1"/>
    <col min="3071" max="3071" width="38" style="360" customWidth="1"/>
    <col min="3072" max="3072" width="8.42578125" style="360" customWidth="1"/>
    <col min="3073" max="3073" width="15.7109375" style="360" customWidth="1"/>
    <col min="3074" max="3074" width="18.28515625" style="360" customWidth="1"/>
    <col min="3075" max="3075" width="17.85546875" style="360" customWidth="1"/>
    <col min="3076" max="3076" width="0" style="360" hidden="1" customWidth="1"/>
    <col min="3077" max="3077" width="33.28515625" style="360" customWidth="1"/>
    <col min="3078" max="3325" width="10.7109375" style="360"/>
    <col min="3326" max="3326" width="13.140625" style="360" customWidth="1"/>
    <col min="3327" max="3327" width="38" style="360" customWidth="1"/>
    <col min="3328" max="3328" width="8.42578125" style="360" customWidth="1"/>
    <col min="3329" max="3329" width="15.7109375" style="360" customWidth="1"/>
    <col min="3330" max="3330" width="18.28515625" style="360" customWidth="1"/>
    <col min="3331" max="3331" width="17.85546875" style="360" customWidth="1"/>
    <col min="3332" max="3332" width="0" style="360" hidden="1" customWidth="1"/>
    <col min="3333" max="3333" width="33.28515625" style="360" customWidth="1"/>
    <col min="3334" max="3581" width="10.7109375" style="360"/>
    <col min="3582" max="3582" width="13.140625" style="360" customWidth="1"/>
    <col min="3583" max="3583" width="38" style="360" customWidth="1"/>
    <col min="3584" max="3584" width="8.42578125" style="360" customWidth="1"/>
    <col min="3585" max="3585" width="15.7109375" style="360" customWidth="1"/>
    <col min="3586" max="3586" width="18.28515625" style="360" customWidth="1"/>
    <col min="3587" max="3587" width="17.85546875" style="360" customWidth="1"/>
    <col min="3588" max="3588" width="0" style="360" hidden="1" customWidth="1"/>
    <col min="3589" max="3589" width="33.28515625" style="360" customWidth="1"/>
    <col min="3590" max="3837" width="10.7109375" style="360"/>
    <col min="3838" max="3838" width="13.140625" style="360" customWidth="1"/>
    <col min="3839" max="3839" width="38" style="360" customWidth="1"/>
    <col min="3840" max="3840" width="8.42578125" style="360" customWidth="1"/>
    <col min="3841" max="3841" width="15.7109375" style="360" customWidth="1"/>
    <col min="3842" max="3842" width="18.28515625" style="360" customWidth="1"/>
    <col min="3843" max="3843" width="17.85546875" style="360" customWidth="1"/>
    <col min="3844" max="3844" width="0" style="360" hidden="1" customWidth="1"/>
    <col min="3845" max="3845" width="33.28515625" style="360" customWidth="1"/>
    <col min="3846" max="4093" width="10.7109375" style="360"/>
    <col min="4094" max="4094" width="13.140625" style="360" customWidth="1"/>
    <col min="4095" max="4095" width="38" style="360" customWidth="1"/>
    <col min="4096" max="4096" width="8.42578125" style="360" customWidth="1"/>
    <col min="4097" max="4097" width="15.7109375" style="360" customWidth="1"/>
    <col min="4098" max="4098" width="18.28515625" style="360" customWidth="1"/>
    <col min="4099" max="4099" width="17.85546875" style="360" customWidth="1"/>
    <col min="4100" max="4100" width="0" style="360" hidden="1" customWidth="1"/>
    <col min="4101" max="4101" width="33.28515625" style="360" customWidth="1"/>
    <col min="4102" max="4349" width="10.7109375" style="360"/>
    <col min="4350" max="4350" width="13.140625" style="360" customWidth="1"/>
    <col min="4351" max="4351" width="38" style="360" customWidth="1"/>
    <col min="4352" max="4352" width="8.42578125" style="360" customWidth="1"/>
    <col min="4353" max="4353" width="15.7109375" style="360" customWidth="1"/>
    <col min="4354" max="4354" width="18.28515625" style="360" customWidth="1"/>
    <col min="4355" max="4355" width="17.85546875" style="360" customWidth="1"/>
    <col min="4356" max="4356" width="0" style="360" hidden="1" customWidth="1"/>
    <col min="4357" max="4357" width="33.28515625" style="360" customWidth="1"/>
    <col min="4358" max="4605" width="10.7109375" style="360"/>
    <col min="4606" max="4606" width="13.140625" style="360" customWidth="1"/>
    <col min="4607" max="4607" width="38" style="360" customWidth="1"/>
    <col min="4608" max="4608" width="8.42578125" style="360" customWidth="1"/>
    <col min="4609" max="4609" width="15.7109375" style="360" customWidth="1"/>
    <col min="4610" max="4610" width="18.28515625" style="360" customWidth="1"/>
    <col min="4611" max="4611" width="17.85546875" style="360" customWidth="1"/>
    <col min="4612" max="4612" width="0" style="360" hidden="1" customWidth="1"/>
    <col min="4613" max="4613" width="33.28515625" style="360" customWidth="1"/>
    <col min="4614" max="4861" width="10.7109375" style="360"/>
    <col min="4862" max="4862" width="13.140625" style="360" customWidth="1"/>
    <col min="4863" max="4863" width="38" style="360" customWidth="1"/>
    <col min="4864" max="4864" width="8.42578125" style="360" customWidth="1"/>
    <col min="4865" max="4865" width="15.7109375" style="360" customWidth="1"/>
    <col min="4866" max="4866" width="18.28515625" style="360" customWidth="1"/>
    <col min="4867" max="4867" width="17.85546875" style="360" customWidth="1"/>
    <col min="4868" max="4868" width="0" style="360" hidden="1" customWidth="1"/>
    <col min="4869" max="4869" width="33.28515625" style="360" customWidth="1"/>
    <col min="4870" max="5117" width="10.7109375" style="360"/>
    <col min="5118" max="5118" width="13.140625" style="360" customWidth="1"/>
    <col min="5119" max="5119" width="38" style="360" customWidth="1"/>
    <col min="5120" max="5120" width="8.42578125" style="360" customWidth="1"/>
    <col min="5121" max="5121" width="15.7109375" style="360" customWidth="1"/>
    <col min="5122" max="5122" width="18.28515625" style="360" customWidth="1"/>
    <col min="5123" max="5123" width="17.85546875" style="360" customWidth="1"/>
    <col min="5124" max="5124" width="0" style="360" hidden="1" customWidth="1"/>
    <col min="5125" max="5125" width="33.28515625" style="360" customWidth="1"/>
    <col min="5126" max="5373" width="10.7109375" style="360"/>
    <col min="5374" max="5374" width="13.140625" style="360" customWidth="1"/>
    <col min="5375" max="5375" width="38" style="360" customWidth="1"/>
    <col min="5376" max="5376" width="8.42578125" style="360" customWidth="1"/>
    <col min="5377" max="5377" width="15.7109375" style="360" customWidth="1"/>
    <col min="5378" max="5378" width="18.28515625" style="360" customWidth="1"/>
    <col min="5379" max="5379" width="17.85546875" style="360" customWidth="1"/>
    <col min="5380" max="5380" width="0" style="360" hidden="1" customWidth="1"/>
    <col min="5381" max="5381" width="33.28515625" style="360" customWidth="1"/>
    <col min="5382" max="5629" width="10.7109375" style="360"/>
    <col min="5630" max="5630" width="13.140625" style="360" customWidth="1"/>
    <col min="5631" max="5631" width="38" style="360" customWidth="1"/>
    <col min="5632" max="5632" width="8.42578125" style="360" customWidth="1"/>
    <col min="5633" max="5633" width="15.7109375" style="360" customWidth="1"/>
    <col min="5634" max="5634" width="18.28515625" style="360" customWidth="1"/>
    <col min="5635" max="5635" width="17.85546875" style="360" customWidth="1"/>
    <col min="5636" max="5636" width="0" style="360" hidden="1" customWidth="1"/>
    <col min="5637" max="5637" width="33.28515625" style="360" customWidth="1"/>
    <col min="5638" max="5885" width="10.7109375" style="360"/>
    <col min="5886" max="5886" width="13.140625" style="360" customWidth="1"/>
    <col min="5887" max="5887" width="38" style="360" customWidth="1"/>
    <col min="5888" max="5888" width="8.42578125" style="360" customWidth="1"/>
    <col min="5889" max="5889" width="15.7109375" style="360" customWidth="1"/>
    <col min="5890" max="5890" width="18.28515625" style="360" customWidth="1"/>
    <col min="5891" max="5891" width="17.85546875" style="360" customWidth="1"/>
    <col min="5892" max="5892" width="0" style="360" hidden="1" customWidth="1"/>
    <col min="5893" max="5893" width="33.28515625" style="360" customWidth="1"/>
    <col min="5894" max="6141" width="10.7109375" style="360"/>
    <col min="6142" max="6142" width="13.140625" style="360" customWidth="1"/>
    <col min="6143" max="6143" width="38" style="360" customWidth="1"/>
    <col min="6144" max="6144" width="8.42578125" style="360" customWidth="1"/>
    <col min="6145" max="6145" width="15.7109375" style="360" customWidth="1"/>
    <col min="6146" max="6146" width="18.28515625" style="360" customWidth="1"/>
    <col min="6147" max="6147" width="17.85546875" style="360" customWidth="1"/>
    <col min="6148" max="6148" width="0" style="360" hidden="1" customWidth="1"/>
    <col min="6149" max="6149" width="33.28515625" style="360" customWidth="1"/>
    <col min="6150" max="6397" width="10.7109375" style="360"/>
    <col min="6398" max="6398" width="13.140625" style="360" customWidth="1"/>
    <col min="6399" max="6399" width="38" style="360" customWidth="1"/>
    <col min="6400" max="6400" width="8.42578125" style="360" customWidth="1"/>
    <col min="6401" max="6401" width="15.7109375" style="360" customWidth="1"/>
    <col min="6402" max="6402" width="18.28515625" style="360" customWidth="1"/>
    <col min="6403" max="6403" width="17.85546875" style="360" customWidth="1"/>
    <col min="6404" max="6404" width="0" style="360" hidden="1" customWidth="1"/>
    <col min="6405" max="6405" width="33.28515625" style="360" customWidth="1"/>
    <col min="6406" max="6653" width="10.7109375" style="360"/>
    <col min="6654" max="6654" width="13.140625" style="360" customWidth="1"/>
    <col min="6655" max="6655" width="38" style="360" customWidth="1"/>
    <col min="6656" max="6656" width="8.42578125" style="360" customWidth="1"/>
    <col min="6657" max="6657" width="15.7109375" style="360" customWidth="1"/>
    <col min="6658" max="6658" width="18.28515625" style="360" customWidth="1"/>
    <col min="6659" max="6659" width="17.85546875" style="360" customWidth="1"/>
    <col min="6660" max="6660" width="0" style="360" hidden="1" customWidth="1"/>
    <col min="6661" max="6661" width="33.28515625" style="360" customWidth="1"/>
    <col min="6662" max="6909" width="10.7109375" style="360"/>
    <col min="6910" max="6910" width="13.140625" style="360" customWidth="1"/>
    <col min="6911" max="6911" width="38" style="360" customWidth="1"/>
    <col min="6912" max="6912" width="8.42578125" style="360" customWidth="1"/>
    <col min="6913" max="6913" width="15.7109375" style="360" customWidth="1"/>
    <col min="6914" max="6914" width="18.28515625" style="360" customWidth="1"/>
    <col min="6915" max="6915" width="17.85546875" style="360" customWidth="1"/>
    <col min="6916" max="6916" width="0" style="360" hidden="1" customWidth="1"/>
    <col min="6917" max="6917" width="33.28515625" style="360" customWidth="1"/>
    <col min="6918" max="7165" width="10.7109375" style="360"/>
    <col min="7166" max="7166" width="13.140625" style="360" customWidth="1"/>
    <col min="7167" max="7167" width="38" style="360" customWidth="1"/>
    <col min="7168" max="7168" width="8.42578125" style="360" customWidth="1"/>
    <col min="7169" max="7169" width="15.7109375" style="360" customWidth="1"/>
    <col min="7170" max="7170" width="18.28515625" style="360" customWidth="1"/>
    <col min="7171" max="7171" width="17.85546875" style="360" customWidth="1"/>
    <col min="7172" max="7172" width="0" style="360" hidden="1" customWidth="1"/>
    <col min="7173" max="7173" width="33.28515625" style="360" customWidth="1"/>
    <col min="7174" max="7421" width="10.7109375" style="360"/>
    <col min="7422" max="7422" width="13.140625" style="360" customWidth="1"/>
    <col min="7423" max="7423" width="38" style="360" customWidth="1"/>
    <col min="7424" max="7424" width="8.42578125" style="360" customWidth="1"/>
    <col min="7425" max="7425" width="15.7109375" style="360" customWidth="1"/>
    <col min="7426" max="7426" width="18.28515625" style="360" customWidth="1"/>
    <col min="7427" max="7427" width="17.85546875" style="360" customWidth="1"/>
    <col min="7428" max="7428" width="0" style="360" hidden="1" customWidth="1"/>
    <col min="7429" max="7429" width="33.28515625" style="360" customWidth="1"/>
    <col min="7430" max="7677" width="10.7109375" style="360"/>
    <col min="7678" max="7678" width="13.140625" style="360" customWidth="1"/>
    <col min="7679" max="7679" width="38" style="360" customWidth="1"/>
    <col min="7680" max="7680" width="8.42578125" style="360" customWidth="1"/>
    <col min="7681" max="7681" width="15.7109375" style="360" customWidth="1"/>
    <col min="7682" max="7682" width="18.28515625" style="360" customWidth="1"/>
    <col min="7683" max="7683" width="17.85546875" style="360" customWidth="1"/>
    <col min="7684" max="7684" width="0" style="360" hidden="1" customWidth="1"/>
    <col min="7685" max="7685" width="33.28515625" style="360" customWidth="1"/>
    <col min="7686" max="7933" width="10.7109375" style="360"/>
    <col min="7934" max="7934" width="13.140625" style="360" customWidth="1"/>
    <col min="7935" max="7935" width="38" style="360" customWidth="1"/>
    <col min="7936" max="7936" width="8.42578125" style="360" customWidth="1"/>
    <col min="7937" max="7937" width="15.7109375" style="360" customWidth="1"/>
    <col min="7938" max="7938" width="18.28515625" style="360" customWidth="1"/>
    <col min="7939" max="7939" width="17.85546875" style="360" customWidth="1"/>
    <col min="7940" max="7940" width="0" style="360" hidden="1" customWidth="1"/>
    <col min="7941" max="7941" width="33.28515625" style="360" customWidth="1"/>
    <col min="7942" max="8189" width="10.7109375" style="360"/>
    <col min="8190" max="8190" width="13.140625" style="360" customWidth="1"/>
    <col min="8191" max="8191" width="38" style="360" customWidth="1"/>
    <col min="8192" max="8192" width="8.42578125" style="360" customWidth="1"/>
    <col min="8193" max="8193" width="15.7109375" style="360" customWidth="1"/>
    <col min="8194" max="8194" width="18.28515625" style="360" customWidth="1"/>
    <col min="8195" max="8195" width="17.85546875" style="360" customWidth="1"/>
    <col min="8196" max="8196" width="0" style="360" hidden="1" customWidth="1"/>
    <col min="8197" max="8197" width="33.28515625" style="360" customWidth="1"/>
    <col min="8198" max="8445" width="10.7109375" style="360"/>
    <col min="8446" max="8446" width="13.140625" style="360" customWidth="1"/>
    <col min="8447" max="8447" width="38" style="360" customWidth="1"/>
    <col min="8448" max="8448" width="8.42578125" style="360" customWidth="1"/>
    <col min="8449" max="8449" width="15.7109375" style="360" customWidth="1"/>
    <col min="8450" max="8450" width="18.28515625" style="360" customWidth="1"/>
    <col min="8451" max="8451" width="17.85546875" style="360" customWidth="1"/>
    <col min="8452" max="8452" width="0" style="360" hidden="1" customWidth="1"/>
    <col min="8453" max="8453" width="33.28515625" style="360" customWidth="1"/>
    <col min="8454" max="8701" width="10.7109375" style="360"/>
    <col min="8702" max="8702" width="13.140625" style="360" customWidth="1"/>
    <col min="8703" max="8703" width="38" style="360" customWidth="1"/>
    <col min="8704" max="8704" width="8.42578125" style="360" customWidth="1"/>
    <col min="8705" max="8705" width="15.7109375" style="360" customWidth="1"/>
    <col min="8706" max="8706" width="18.28515625" style="360" customWidth="1"/>
    <col min="8707" max="8707" width="17.85546875" style="360" customWidth="1"/>
    <col min="8708" max="8708" width="0" style="360" hidden="1" customWidth="1"/>
    <col min="8709" max="8709" width="33.28515625" style="360" customWidth="1"/>
    <col min="8710" max="8957" width="10.7109375" style="360"/>
    <col min="8958" max="8958" width="13.140625" style="360" customWidth="1"/>
    <col min="8959" max="8959" width="38" style="360" customWidth="1"/>
    <col min="8960" max="8960" width="8.42578125" style="360" customWidth="1"/>
    <col min="8961" max="8961" width="15.7109375" style="360" customWidth="1"/>
    <col min="8962" max="8962" width="18.28515625" style="360" customWidth="1"/>
    <col min="8963" max="8963" width="17.85546875" style="360" customWidth="1"/>
    <col min="8964" max="8964" width="0" style="360" hidden="1" customWidth="1"/>
    <col min="8965" max="8965" width="33.28515625" style="360" customWidth="1"/>
    <col min="8966" max="9213" width="10.7109375" style="360"/>
    <col min="9214" max="9214" width="13.140625" style="360" customWidth="1"/>
    <col min="9215" max="9215" width="38" style="360" customWidth="1"/>
    <col min="9216" max="9216" width="8.42578125" style="360" customWidth="1"/>
    <col min="9217" max="9217" width="15.7109375" style="360" customWidth="1"/>
    <col min="9218" max="9218" width="18.28515625" style="360" customWidth="1"/>
    <col min="9219" max="9219" width="17.85546875" style="360" customWidth="1"/>
    <col min="9220" max="9220" width="0" style="360" hidden="1" customWidth="1"/>
    <col min="9221" max="9221" width="33.28515625" style="360" customWidth="1"/>
    <col min="9222" max="9469" width="10.7109375" style="360"/>
    <col min="9470" max="9470" width="13.140625" style="360" customWidth="1"/>
    <col min="9471" max="9471" width="38" style="360" customWidth="1"/>
    <col min="9472" max="9472" width="8.42578125" style="360" customWidth="1"/>
    <col min="9473" max="9473" width="15.7109375" style="360" customWidth="1"/>
    <col min="9474" max="9474" width="18.28515625" style="360" customWidth="1"/>
    <col min="9475" max="9475" width="17.85546875" style="360" customWidth="1"/>
    <col min="9476" max="9476" width="0" style="360" hidden="1" customWidth="1"/>
    <col min="9477" max="9477" width="33.28515625" style="360" customWidth="1"/>
    <col min="9478" max="9725" width="10.7109375" style="360"/>
    <col min="9726" max="9726" width="13.140625" style="360" customWidth="1"/>
    <col min="9727" max="9727" width="38" style="360" customWidth="1"/>
    <col min="9728" max="9728" width="8.42578125" style="360" customWidth="1"/>
    <col min="9729" max="9729" width="15.7109375" style="360" customWidth="1"/>
    <col min="9730" max="9730" width="18.28515625" style="360" customWidth="1"/>
    <col min="9731" max="9731" width="17.85546875" style="360" customWidth="1"/>
    <col min="9732" max="9732" width="0" style="360" hidden="1" customWidth="1"/>
    <col min="9733" max="9733" width="33.28515625" style="360" customWidth="1"/>
    <col min="9734" max="9981" width="10.7109375" style="360"/>
    <col min="9982" max="9982" width="13.140625" style="360" customWidth="1"/>
    <col min="9983" max="9983" width="38" style="360" customWidth="1"/>
    <col min="9984" max="9984" width="8.42578125" style="360" customWidth="1"/>
    <col min="9985" max="9985" width="15.7109375" style="360" customWidth="1"/>
    <col min="9986" max="9986" width="18.28515625" style="360" customWidth="1"/>
    <col min="9987" max="9987" width="17.85546875" style="360" customWidth="1"/>
    <col min="9988" max="9988" width="0" style="360" hidden="1" customWidth="1"/>
    <col min="9989" max="9989" width="33.28515625" style="360" customWidth="1"/>
    <col min="9990" max="10237" width="10.7109375" style="360"/>
    <col min="10238" max="10238" width="13.140625" style="360" customWidth="1"/>
    <col min="10239" max="10239" width="38" style="360" customWidth="1"/>
    <col min="10240" max="10240" width="8.42578125" style="360" customWidth="1"/>
    <col min="10241" max="10241" width="15.7109375" style="360" customWidth="1"/>
    <col min="10242" max="10242" width="18.28515625" style="360" customWidth="1"/>
    <col min="10243" max="10243" width="17.85546875" style="360" customWidth="1"/>
    <col min="10244" max="10244" width="0" style="360" hidden="1" customWidth="1"/>
    <col min="10245" max="10245" width="33.28515625" style="360" customWidth="1"/>
    <col min="10246" max="10493" width="10.7109375" style="360"/>
    <col min="10494" max="10494" width="13.140625" style="360" customWidth="1"/>
    <col min="10495" max="10495" width="38" style="360" customWidth="1"/>
    <col min="10496" max="10496" width="8.42578125" style="360" customWidth="1"/>
    <col min="10497" max="10497" width="15.7109375" style="360" customWidth="1"/>
    <col min="10498" max="10498" width="18.28515625" style="360" customWidth="1"/>
    <col min="10499" max="10499" width="17.85546875" style="360" customWidth="1"/>
    <col min="10500" max="10500" width="0" style="360" hidden="1" customWidth="1"/>
    <col min="10501" max="10501" width="33.28515625" style="360" customWidth="1"/>
    <col min="10502" max="10749" width="10.7109375" style="360"/>
    <col min="10750" max="10750" width="13.140625" style="360" customWidth="1"/>
    <col min="10751" max="10751" width="38" style="360" customWidth="1"/>
    <col min="10752" max="10752" width="8.42578125" style="360" customWidth="1"/>
    <col min="10753" max="10753" width="15.7109375" style="360" customWidth="1"/>
    <col min="10754" max="10754" width="18.28515625" style="360" customWidth="1"/>
    <col min="10755" max="10755" width="17.85546875" style="360" customWidth="1"/>
    <col min="10756" max="10756" width="0" style="360" hidden="1" customWidth="1"/>
    <col min="10757" max="10757" width="33.28515625" style="360" customWidth="1"/>
    <col min="10758" max="11005" width="10.7109375" style="360"/>
    <col min="11006" max="11006" width="13.140625" style="360" customWidth="1"/>
    <col min="11007" max="11007" width="38" style="360" customWidth="1"/>
    <col min="11008" max="11008" width="8.42578125" style="360" customWidth="1"/>
    <col min="11009" max="11009" width="15.7109375" style="360" customWidth="1"/>
    <col min="11010" max="11010" width="18.28515625" style="360" customWidth="1"/>
    <col min="11011" max="11011" width="17.85546875" style="360" customWidth="1"/>
    <col min="11012" max="11012" width="0" style="360" hidden="1" customWidth="1"/>
    <col min="11013" max="11013" width="33.28515625" style="360" customWidth="1"/>
    <col min="11014" max="11261" width="10.7109375" style="360"/>
    <col min="11262" max="11262" width="13.140625" style="360" customWidth="1"/>
    <col min="11263" max="11263" width="38" style="360" customWidth="1"/>
    <col min="11264" max="11264" width="8.42578125" style="360" customWidth="1"/>
    <col min="11265" max="11265" width="15.7109375" style="360" customWidth="1"/>
    <col min="11266" max="11266" width="18.28515625" style="360" customWidth="1"/>
    <col min="11267" max="11267" width="17.85546875" style="360" customWidth="1"/>
    <col min="11268" max="11268" width="0" style="360" hidden="1" customWidth="1"/>
    <col min="11269" max="11269" width="33.28515625" style="360" customWidth="1"/>
    <col min="11270" max="11517" width="10.7109375" style="360"/>
    <col min="11518" max="11518" width="13.140625" style="360" customWidth="1"/>
    <col min="11519" max="11519" width="38" style="360" customWidth="1"/>
    <col min="11520" max="11520" width="8.42578125" style="360" customWidth="1"/>
    <col min="11521" max="11521" width="15.7109375" style="360" customWidth="1"/>
    <col min="11522" max="11522" width="18.28515625" style="360" customWidth="1"/>
    <col min="11523" max="11523" width="17.85546875" style="360" customWidth="1"/>
    <col min="11524" max="11524" width="0" style="360" hidden="1" customWidth="1"/>
    <col min="11525" max="11525" width="33.28515625" style="360" customWidth="1"/>
    <col min="11526" max="11773" width="10.7109375" style="360"/>
    <col min="11774" max="11774" width="13.140625" style="360" customWidth="1"/>
    <col min="11775" max="11775" width="38" style="360" customWidth="1"/>
    <col min="11776" max="11776" width="8.42578125" style="360" customWidth="1"/>
    <col min="11777" max="11777" width="15.7109375" style="360" customWidth="1"/>
    <col min="11778" max="11778" width="18.28515625" style="360" customWidth="1"/>
    <col min="11779" max="11779" width="17.85546875" style="360" customWidth="1"/>
    <col min="11780" max="11780" width="0" style="360" hidden="1" customWidth="1"/>
    <col min="11781" max="11781" width="33.28515625" style="360" customWidth="1"/>
    <col min="11782" max="12029" width="10.7109375" style="360"/>
    <col min="12030" max="12030" width="13.140625" style="360" customWidth="1"/>
    <col min="12031" max="12031" width="38" style="360" customWidth="1"/>
    <col min="12032" max="12032" width="8.42578125" style="360" customWidth="1"/>
    <col min="12033" max="12033" width="15.7109375" style="360" customWidth="1"/>
    <col min="12034" max="12034" width="18.28515625" style="360" customWidth="1"/>
    <col min="12035" max="12035" width="17.85546875" style="360" customWidth="1"/>
    <col min="12036" max="12036" width="0" style="360" hidden="1" customWidth="1"/>
    <col min="12037" max="12037" width="33.28515625" style="360" customWidth="1"/>
    <col min="12038" max="12285" width="10.7109375" style="360"/>
    <col min="12286" max="12286" width="13.140625" style="360" customWidth="1"/>
    <col min="12287" max="12287" width="38" style="360" customWidth="1"/>
    <col min="12288" max="12288" width="8.42578125" style="360" customWidth="1"/>
    <col min="12289" max="12289" width="15.7109375" style="360" customWidth="1"/>
    <col min="12290" max="12290" width="18.28515625" style="360" customWidth="1"/>
    <col min="12291" max="12291" width="17.85546875" style="360" customWidth="1"/>
    <col min="12292" max="12292" width="0" style="360" hidden="1" customWidth="1"/>
    <col min="12293" max="12293" width="33.28515625" style="360" customWidth="1"/>
    <col min="12294" max="12541" width="10.7109375" style="360"/>
    <col min="12542" max="12542" width="13.140625" style="360" customWidth="1"/>
    <col min="12543" max="12543" width="38" style="360" customWidth="1"/>
    <col min="12544" max="12544" width="8.42578125" style="360" customWidth="1"/>
    <col min="12545" max="12545" width="15.7109375" style="360" customWidth="1"/>
    <col min="12546" max="12546" width="18.28515625" style="360" customWidth="1"/>
    <col min="12547" max="12547" width="17.85546875" style="360" customWidth="1"/>
    <col min="12548" max="12548" width="0" style="360" hidden="1" customWidth="1"/>
    <col min="12549" max="12549" width="33.28515625" style="360" customWidth="1"/>
    <col min="12550" max="12797" width="10.7109375" style="360"/>
    <col min="12798" max="12798" width="13.140625" style="360" customWidth="1"/>
    <col min="12799" max="12799" width="38" style="360" customWidth="1"/>
    <col min="12800" max="12800" width="8.42578125" style="360" customWidth="1"/>
    <col min="12801" max="12801" width="15.7109375" style="360" customWidth="1"/>
    <col min="12802" max="12802" width="18.28515625" style="360" customWidth="1"/>
    <col min="12803" max="12803" width="17.85546875" style="360" customWidth="1"/>
    <col min="12804" max="12804" width="0" style="360" hidden="1" customWidth="1"/>
    <col min="12805" max="12805" width="33.28515625" style="360" customWidth="1"/>
    <col min="12806" max="13053" width="10.7109375" style="360"/>
    <col min="13054" max="13054" width="13.140625" style="360" customWidth="1"/>
    <col min="13055" max="13055" width="38" style="360" customWidth="1"/>
    <col min="13056" max="13056" width="8.42578125" style="360" customWidth="1"/>
    <col min="13057" max="13057" width="15.7109375" style="360" customWidth="1"/>
    <col min="13058" max="13058" width="18.28515625" style="360" customWidth="1"/>
    <col min="13059" max="13059" width="17.85546875" style="360" customWidth="1"/>
    <col min="13060" max="13060" width="0" style="360" hidden="1" customWidth="1"/>
    <col min="13061" max="13061" width="33.28515625" style="360" customWidth="1"/>
    <col min="13062" max="13309" width="10.7109375" style="360"/>
    <col min="13310" max="13310" width="13.140625" style="360" customWidth="1"/>
    <col min="13311" max="13311" width="38" style="360" customWidth="1"/>
    <col min="13312" max="13312" width="8.42578125" style="360" customWidth="1"/>
    <col min="13313" max="13313" width="15.7109375" style="360" customWidth="1"/>
    <col min="13314" max="13314" width="18.28515625" style="360" customWidth="1"/>
    <col min="13315" max="13315" width="17.85546875" style="360" customWidth="1"/>
    <col min="13316" max="13316" width="0" style="360" hidden="1" customWidth="1"/>
    <col min="13317" max="13317" width="33.28515625" style="360" customWidth="1"/>
    <col min="13318" max="13565" width="10.7109375" style="360"/>
    <col min="13566" max="13566" width="13.140625" style="360" customWidth="1"/>
    <col min="13567" max="13567" width="38" style="360" customWidth="1"/>
    <col min="13568" max="13568" width="8.42578125" style="360" customWidth="1"/>
    <col min="13569" max="13569" width="15.7109375" style="360" customWidth="1"/>
    <col min="13570" max="13570" width="18.28515625" style="360" customWidth="1"/>
    <col min="13571" max="13571" width="17.85546875" style="360" customWidth="1"/>
    <col min="13572" max="13572" width="0" style="360" hidden="1" customWidth="1"/>
    <col min="13573" max="13573" width="33.28515625" style="360" customWidth="1"/>
    <col min="13574" max="13821" width="10.7109375" style="360"/>
    <col min="13822" max="13822" width="13.140625" style="360" customWidth="1"/>
    <col min="13823" max="13823" width="38" style="360" customWidth="1"/>
    <col min="13824" max="13824" width="8.42578125" style="360" customWidth="1"/>
    <col min="13825" max="13825" width="15.7109375" style="360" customWidth="1"/>
    <col min="13826" max="13826" width="18.28515625" style="360" customWidth="1"/>
    <col min="13827" max="13827" width="17.85546875" style="360" customWidth="1"/>
    <col min="13828" max="13828" width="0" style="360" hidden="1" customWidth="1"/>
    <col min="13829" max="13829" width="33.28515625" style="360" customWidth="1"/>
    <col min="13830" max="14077" width="10.7109375" style="360"/>
    <col min="14078" max="14078" width="13.140625" style="360" customWidth="1"/>
    <col min="14079" max="14079" width="38" style="360" customWidth="1"/>
    <col min="14080" max="14080" width="8.42578125" style="360" customWidth="1"/>
    <col min="14081" max="14081" width="15.7109375" style="360" customWidth="1"/>
    <col min="14082" max="14082" width="18.28515625" style="360" customWidth="1"/>
    <col min="14083" max="14083" width="17.85546875" style="360" customWidth="1"/>
    <col min="14084" max="14084" width="0" style="360" hidden="1" customWidth="1"/>
    <col min="14085" max="14085" width="33.28515625" style="360" customWidth="1"/>
    <col min="14086" max="14333" width="10.7109375" style="360"/>
    <col min="14334" max="14334" width="13.140625" style="360" customWidth="1"/>
    <col min="14335" max="14335" width="38" style="360" customWidth="1"/>
    <col min="14336" max="14336" width="8.42578125" style="360" customWidth="1"/>
    <col min="14337" max="14337" width="15.7109375" style="360" customWidth="1"/>
    <col min="14338" max="14338" width="18.28515625" style="360" customWidth="1"/>
    <col min="14339" max="14339" width="17.85546875" style="360" customWidth="1"/>
    <col min="14340" max="14340" width="0" style="360" hidden="1" customWidth="1"/>
    <col min="14341" max="14341" width="33.28515625" style="360" customWidth="1"/>
    <col min="14342" max="14589" width="10.7109375" style="360"/>
    <col min="14590" max="14590" width="13.140625" style="360" customWidth="1"/>
    <col min="14591" max="14591" width="38" style="360" customWidth="1"/>
    <col min="14592" max="14592" width="8.42578125" style="360" customWidth="1"/>
    <col min="14593" max="14593" width="15.7109375" style="360" customWidth="1"/>
    <col min="14594" max="14594" width="18.28515625" style="360" customWidth="1"/>
    <col min="14595" max="14595" width="17.85546875" style="360" customWidth="1"/>
    <col min="14596" max="14596" width="0" style="360" hidden="1" customWidth="1"/>
    <col min="14597" max="14597" width="33.28515625" style="360" customWidth="1"/>
    <col min="14598" max="14845" width="10.7109375" style="360"/>
    <col min="14846" max="14846" width="13.140625" style="360" customWidth="1"/>
    <col min="14847" max="14847" width="38" style="360" customWidth="1"/>
    <col min="14848" max="14848" width="8.42578125" style="360" customWidth="1"/>
    <col min="14849" max="14849" width="15.7109375" style="360" customWidth="1"/>
    <col min="14850" max="14850" width="18.28515625" style="360" customWidth="1"/>
    <col min="14851" max="14851" width="17.85546875" style="360" customWidth="1"/>
    <col min="14852" max="14852" width="0" style="360" hidden="1" customWidth="1"/>
    <col min="14853" max="14853" width="33.28515625" style="360" customWidth="1"/>
    <col min="14854" max="15101" width="10.7109375" style="360"/>
    <col min="15102" max="15102" width="13.140625" style="360" customWidth="1"/>
    <col min="15103" max="15103" width="38" style="360" customWidth="1"/>
    <col min="15104" max="15104" width="8.42578125" style="360" customWidth="1"/>
    <col min="15105" max="15105" width="15.7109375" style="360" customWidth="1"/>
    <col min="15106" max="15106" width="18.28515625" style="360" customWidth="1"/>
    <col min="15107" max="15107" width="17.85546875" style="360" customWidth="1"/>
    <col min="15108" max="15108" width="0" style="360" hidden="1" customWidth="1"/>
    <col min="15109" max="15109" width="33.28515625" style="360" customWidth="1"/>
    <col min="15110" max="15357" width="10.7109375" style="360"/>
    <col min="15358" max="15358" width="13.140625" style="360" customWidth="1"/>
    <col min="15359" max="15359" width="38" style="360" customWidth="1"/>
    <col min="15360" max="15360" width="8.42578125" style="360" customWidth="1"/>
    <col min="15361" max="15361" width="15.7109375" style="360" customWidth="1"/>
    <col min="15362" max="15362" width="18.28515625" style="360" customWidth="1"/>
    <col min="15363" max="15363" width="17.85546875" style="360" customWidth="1"/>
    <col min="15364" max="15364" width="0" style="360" hidden="1" customWidth="1"/>
    <col min="15365" max="15365" width="33.28515625" style="360" customWidth="1"/>
    <col min="15366" max="15613" width="10.7109375" style="360"/>
    <col min="15614" max="15614" width="13.140625" style="360" customWidth="1"/>
    <col min="15615" max="15615" width="38" style="360" customWidth="1"/>
    <col min="15616" max="15616" width="8.42578125" style="360" customWidth="1"/>
    <col min="15617" max="15617" width="15.7109375" style="360" customWidth="1"/>
    <col min="15618" max="15618" width="18.28515625" style="360" customWidth="1"/>
    <col min="15619" max="15619" width="17.85546875" style="360" customWidth="1"/>
    <col min="15620" max="15620" width="0" style="360" hidden="1" customWidth="1"/>
    <col min="15621" max="15621" width="33.28515625" style="360" customWidth="1"/>
    <col min="15622" max="15869" width="10.7109375" style="360"/>
    <col min="15870" max="15870" width="13.140625" style="360" customWidth="1"/>
    <col min="15871" max="15871" width="38" style="360" customWidth="1"/>
    <col min="15872" max="15872" width="8.42578125" style="360" customWidth="1"/>
    <col min="15873" max="15873" width="15.7109375" style="360" customWidth="1"/>
    <col min="15874" max="15874" width="18.28515625" style="360" customWidth="1"/>
    <col min="15875" max="15875" width="17.85546875" style="360" customWidth="1"/>
    <col min="15876" max="15876" width="0" style="360" hidden="1" customWidth="1"/>
    <col min="15877" max="15877" width="33.28515625" style="360" customWidth="1"/>
    <col min="15878" max="16125" width="10.7109375" style="360"/>
    <col min="16126" max="16126" width="13.140625" style="360" customWidth="1"/>
    <col min="16127" max="16127" width="38" style="360" customWidth="1"/>
    <col min="16128" max="16128" width="8.42578125" style="360" customWidth="1"/>
    <col min="16129" max="16129" width="15.7109375" style="360" customWidth="1"/>
    <col min="16130" max="16130" width="18.28515625" style="360" customWidth="1"/>
    <col min="16131" max="16131" width="17.85546875" style="360" customWidth="1"/>
    <col min="16132" max="16132" width="0" style="360" hidden="1" customWidth="1"/>
    <col min="16133" max="16133" width="33.28515625" style="360" customWidth="1"/>
    <col min="16134" max="16384" width="10.7109375" style="360"/>
  </cols>
  <sheetData>
    <row r="1" spans="1:9" ht="13.9" x14ac:dyDescent="0.3">
      <c r="A1" s="547" t="str">
        <f>'04-DO'!B2</f>
        <v>PROIECT : Extindere infrastructură educațională – Centrul Școlar pentru Educație înclusivă „Constantin Pufan”</v>
      </c>
      <c r="B1" s="361"/>
      <c r="C1" s="357"/>
      <c r="D1" s="779"/>
      <c r="E1" s="358"/>
      <c r="F1" s="358"/>
      <c r="G1" s="359"/>
      <c r="H1" s="362"/>
    </row>
    <row r="2" spans="1:9" ht="13.15" x14ac:dyDescent="0.3">
      <c r="A2" s="361"/>
      <c r="B2" s="361"/>
      <c r="C2" s="357"/>
      <c r="D2" s="779"/>
      <c r="E2" s="358"/>
      <c r="F2" s="358"/>
      <c r="G2" s="359"/>
      <c r="H2" s="362"/>
    </row>
    <row r="3" spans="1:9" ht="13.15" x14ac:dyDescent="0.3">
      <c r="A3" s="359"/>
      <c r="B3" s="359"/>
      <c r="C3" s="357"/>
      <c r="D3" s="779"/>
      <c r="E3" s="358"/>
      <c r="F3" s="358"/>
      <c r="G3" s="359"/>
      <c r="H3" s="362"/>
    </row>
    <row r="4" spans="1:9" ht="13.15" x14ac:dyDescent="0.3">
      <c r="A4" s="1445" t="s">
        <v>1217</v>
      </c>
      <c r="B4" s="1445"/>
      <c r="C4" s="1445"/>
      <c r="D4" s="1445"/>
      <c r="E4" s="1445"/>
      <c r="F4" s="1445"/>
      <c r="G4" s="1445"/>
      <c r="H4" s="1445"/>
    </row>
    <row r="5" spans="1:9" ht="13.15" x14ac:dyDescent="0.3">
      <c r="A5" s="1445" t="s">
        <v>1455</v>
      </c>
      <c r="B5" s="1445"/>
      <c r="C5" s="1445"/>
      <c r="D5" s="1445"/>
      <c r="E5" s="1445"/>
      <c r="F5" s="1445"/>
      <c r="G5" s="1445"/>
      <c r="H5" s="1445"/>
    </row>
    <row r="6" spans="1:9" ht="13.15" x14ac:dyDescent="0.3">
      <c r="A6" s="1445" t="str">
        <f>DG!C63</f>
        <v>OBIECT 4 - Dotări Specifice</v>
      </c>
      <c r="B6" s="1445"/>
      <c r="C6" s="1445"/>
      <c r="D6" s="1445"/>
      <c r="E6" s="1445"/>
      <c r="F6" s="1445"/>
      <c r="G6" s="1445"/>
      <c r="H6" s="1445"/>
    </row>
    <row r="7" spans="1:9" ht="13.15" x14ac:dyDescent="0.3">
      <c r="A7" s="828"/>
      <c r="B7" s="361"/>
      <c r="C7" s="828"/>
      <c r="D7" s="780"/>
      <c r="E7" s="560"/>
      <c r="F7" s="560"/>
      <c r="G7" s="828"/>
      <c r="H7" s="356"/>
    </row>
    <row r="8" spans="1:9" ht="13.15" x14ac:dyDescent="0.3">
      <c r="A8" s="359"/>
      <c r="B8" s="359"/>
      <c r="C8" s="357"/>
      <c r="D8" s="788">
        <v>1.1499999999999999</v>
      </c>
      <c r="E8" s="358"/>
      <c r="F8" s="358"/>
      <c r="G8" s="359"/>
      <c r="H8" s="362"/>
    </row>
    <row r="9" spans="1:9" ht="38.25" x14ac:dyDescent="0.25">
      <c r="A9" s="1446" t="s">
        <v>1179</v>
      </c>
      <c r="B9" s="1446" t="s">
        <v>1180</v>
      </c>
      <c r="C9" s="1446" t="s">
        <v>1181</v>
      </c>
      <c r="D9" s="1447" t="s">
        <v>1456</v>
      </c>
      <c r="E9" s="1448" t="s">
        <v>1456</v>
      </c>
      <c r="F9" s="829" t="s">
        <v>1183</v>
      </c>
      <c r="G9" s="1446" t="s">
        <v>1184</v>
      </c>
      <c r="H9" s="1446" t="s">
        <v>1185</v>
      </c>
    </row>
    <row r="10" spans="1:9" ht="25.5" x14ac:dyDescent="0.25">
      <c r="A10" s="1446"/>
      <c r="B10" s="1446"/>
      <c r="C10" s="1446"/>
      <c r="D10" s="1447"/>
      <c r="E10" s="1448"/>
      <c r="F10" s="829" t="s">
        <v>1186</v>
      </c>
      <c r="G10" s="1446"/>
      <c r="H10" s="1446"/>
    </row>
    <row r="11" spans="1:9" ht="13.15" x14ac:dyDescent="0.3">
      <c r="A11" s="826">
        <v>1</v>
      </c>
      <c r="B11" s="826">
        <v>2</v>
      </c>
      <c r="C11" s="826">
        <v>3</v>
      </c>
      <c r="D11" s="778">
        <v>4</v>
      </c>
      <c r="E11" s="562">
        <v>4</v>
      </c>
      <c r="F11" s="562">
        <v>5</v>
      </c>
      <c r="G11" s="826">
        <v>7</v>
      </c>
      <c r="H11" s="826">
        <v>6</v>
      </c>
    </row>
    <row r="12" spans="1:9" ht="26.45" x14ac:dyDescent="0.3">
      <c r="A12" s="563" t="s">
        <v>1457</v>
      </c>
      <c r="B12" s="564" t="s">
        <v>1789</v>
      </c>
      <c r="C12" s="565"/>
      <c r="D12" s="781"/>
      <c r="E12" s="565"/>
      <c r="F12" s="565"/>
      <c r="G12" s="565"/>
      <c r="H12" s="566"/>
    </row>
    <row r="13" spans="1:9" ht="14.45" x14ac:dyDescent="0.3">
      <c r="A13" s="364" t="s">
        <v>1458</v>
      </c>
      <c r="B13" s="530"/>
      <c r="C13" s="531"/>
      <c r="D13" s="783">
        <v>18795</v>
      </c>
      <c r="E13" s="532"/>
      <c r="F13" s="532">
        <f t="shared" ref="F13" si="0">E13*C13</f>
        <v>0</v>
      </c>
      <c r="G13" s="530"/>
      <c r="H13" s="533"/>
      <c r="I13" s="426"/>
    </row>
    <row r="14" spans="1:9" ht="14.45" x14ac:dyDescent="0.3">
      <c r="A14" s="364" t="s">
        <v>1470</v>
      </c>
      <c r="B14" s="530"/>
      <c r="C14" s="531"/>
      <c r="D14" s="783">
        <v>13192</v>
      </c>
      <c r="E14" s="532"/>
      <c r="F14" s="532">
        <f t="shared" ref="F14:F22" si="1">E14*C14</f>
        <v>0</v>
      </c>
      <c r="G14" s="530"/>
      <c r="H14" s="533"/>
      <c r="I14" s="426"/>
    </row>
    <row r="15" spans="1:9" ht="14.45" x14ac:dyDescent="0.3">
      <c r="A15" s="364" t="s">
        <v>1471</v>
      </c>
      <c r="B15" s="530"/>
      <c r="C15" s="531"/>
      <c r="D15" s="783">
        <v>4974</v>
      </c>
      <c r="E15" s="532"/>
      <c r="F15" s="532">
        <f t="shared" si="1"/>
        <v>0</v>
      </c>
      <c r="G15" s="530"/>
      <c r="H15" s="533"/>
      <c r="I15" s="426"/>
    </row>
    <row r="16" spans="1:9" ht="14.45" x14ac:dyDescent="0.3">
      <c r="A16" s="364" t="s">
        <v>1472</v>
      </c>
      <c r="B16" s="530"/>
      <c r="C16" s="531"/>
      <c r="D16" s="783">
        <v>6528</v>
      </c>
      <c r="E16" s="532"/>
      <c r="F16" s="532">
        <f t="shared" si="1"/>
        <v>0</v>
      </c>
      <c r="G16" s="530"/>
      <c r="H16" s="533"/>
      <c r="I16" s="426"/>
    </row>
    <row r="17" spans="1:11" ht="14.45" x14ac:dyDescent="0.3">
      <c r="A17" s="364" t="s">
        <v>1473</v>
      </c>
      <c r="B17" s="530"/>
      <c r="C17" s="531"/>
      <c r="D17" s="783">
        <v>11511</v>
      </c>
      <c r="E17" s="532"/>
      <c r="F17" s="532">
        <f t="shared" si="1"/>
        <v>0</v>
      </c>
      <c r="G17" s="530"/>
      <c r="H17" s="533"/>
      <c r="I17" s="426"/>
    </row>
    <row r="18" spans="1:11" ht="14.45" x14ac:dyDescent="0.3">
      <c r="A18" s="364" t="s">
        <v>1474</v>
      </c>
      <c r="B18" s="530"/>
      <c r="C18" s="531"/>
      <c r="D18" s="783">
        <v>1516</v>
      </c>
      <c r="E18" s="532"/>
      <c r="F18" s="532">
        <f t="shared" si="1"/>
        <v>0</v>
      </c>
      <c r="G18" s="530"/>
      <c r="H18" s="533"/>
      <c r="I18" s="426"/>
    </row>
    <row r="19" spans="1:11" ht="13.15" x14ac:dyDescent="0.3">
      <c r="A19" s="364" t="s">
        <v>1475</v>
      </c>
      <c r="B19" s="530"/>
      <c r="C19" s="531"/>
      <c r="D19" s="783">
        <v>35409</v>
      </c>
      <c r="E19" s="532"/>
      <c r="F19" s="532">
        <f t="shared" si="1"/>
        <v>0</v>
      </c>
      <c r="G19" s="530"/>
      <c r="H19" s="533"/>
    </row>
    <row r="20" spans="1:11" ht="13.15" x14ac:dyDescent="0.3">
      <c r="A20" s="364" t="s">
        <v>1476</v>
      </c>
      <c r="B20" s="530"/>
      <c r="C20" s="531"/>
      <c r="D20" s="783">
        <v>290</v>
      </c>
      <c r="E20" s="532"/>
      <c r="F20" s="532">
        <f t="shared" si="1"/>
        <v>0</v>
      </c>
      <c r="G20" s="530"/>
      <c r="H20" s="533"/>
    </row>
    <row r="21" spans="1:11" ht="12.75" customHeight="1" x14ac:dyDescent="0.3">
      <c r="A21" s="364" t="s">
        <v>1477</v>
      </c>
      <c r="B21" s="530"/>
      <c r="C21" s="531"/>
      <c r="D21" s="783">
        <v>2696</v>
      </c>
      <c r="E21" s="532"/>
      <c r="F21" s="532">
        <f t="shared" si="1"/>
        <v>0</v>
      </c>
      <c r="G21" s="530"/>
      <c r="H21" s="533"/>
    </row>
    <row r="22" spans="1:11" ht="13.15" x14ac:dyDescent="0.3">
      <c r="A22" s="364" t="s">
        <v>1478</v>
      </c>
      <c r="B22" s="530"/>
      <c r="C22" s="531"/>
      <c r="D22" s="783">
        <v>1208</v>
      </c>
      <c r="E22" s="532"/>
      <c r="F22" s="532">
        <f t="shared" si="1"/>
        <v>0</v>
      </c>
      <c r="G22" s="530"/>
      <c r="H22" s="533"/>
    </row>
    <row r="23" spans="1:11" ht="13.15" hidden="1" x14ac:dyDescent="0.3">
      <c r="A23" s="563" t="s">
        <v>1481</v>
      </c>
      <c r="B23" s="564" t="s">
        <v>1790</v>
      </c>
      <c r="C23" s="574"/>
      <c r="D23" s="772"/>
      <c r="E23" s="575"/>
      <c r="F23" s="575"/>
      <c r="G23" s="576"/>
      <c r="H23" s="577"/>
    </row>
    <row r="24" spans="1:11" ht="14.45" hidden="1" x14ac:dyDescent="0.3">
      <c r="A24" s="366" t="s">
        <v>1482</v>
      </c>
      <c r="B24" s="549"/>
      <c r="C24" s="550"/>
      <c r="D24" s="769"/>
      <c r="E24" s="395"/>
      <c r="F24" s="369">
        <f>C24*D24</f>
        <v>0</v>
      </c>
      <c r="G24" s="551"/>
      <c r="H24" s="552"/>
      <c r="I24" s="845"/>
      <c r="K24" s="559"/>
    </row>
    <row r="25" spans="1:11" ht="14.45" hidden="1" x14ac:dyDescent="0.3">
      <c r="A25" s="366" t="s">
        <v>1483</v>
      </c>
      <c r="B25" s="549"/>
      <c r="C25" s="550"/>
      <c r="D25" s="769"/>
      <c r="E25" s="395"/>
      <c r="F25" s="369">
        <f>C25*D25</f>
        <v>0</v>
      </c>
      <c r="G25" s="551"/>
      <c r="H25" s="552"/>
      <c r="I25" s="845"/>
      <c r="K25" s="559"/>
    </row>
    <row r="26" spans="1:11" ht="14.45" hidden="1" x14ac:dyDescent="0.3">
      <c r="A26" s="846" t="s">
        <v>13</v>
      </c>
      <c r="B26" s="847" t="s">
        <v>1791</v>
      </c>
      <c r="C26" s="848"/>
      <c r="D26" s="849"/>
      <c r="E26" s="850"/>
      <c r="F26" s="850"/>
      <c r="G26" s="841"/>
      <c r="H26" s="842"/>
      <c r="I26" s="845"/>
      <c r="K26" s="559"/>
    </row>
    <row r="27" spans="1:11" ht="14.45" hidden="1" x14ac:dyDescent="0.3">
      <c r="A27" s="366" t="s">
        <v>1487</v>
      </c>
      <c r="B27" s="549"/>
      <c r="C27" s="550"/>
      <c r="D27" s="769"/>
      <c r="E27" s="395"/>
      <c r="F27" s="369"/>
      <c r="G27" s="551"/>
      <c r="H27" s="552"/>
      <c r="I27" s="845"/>
      <c r="K27" s="559"/>
    </row>
    <row r="28" spans="1:11" ht="14.45" hidden="1" x14ac:dyDescent="0.3">
      <c r="A28" s="366" t="s">
        <v>1488</v>
      </c>
      <c r="B28" s="549"/>
      <c r="C28" s="550"/>
      <c r="D28" s="769"/>
      <c r="E28" s="395"/>
      <c r="F28" s="369"/>
      <c r="G28" s="551"/>
      <c r="H28" s="552"/>
      <c r="I28" s="845"/>
      <c r="K28" s="559"/>
    </row>
    <row r="29" spans="1:11" ht="14.45" hidden="1" x14ac:dyDescent="0.3">
      <c r="A29" s="366"/>
      <c r="B29" s="549"/>
      <c r="C29" s="550"/>
      <c r="D29" s="769"/>
      <c r="E29" s="395"/>
      <c r="F29" s="369"/>
      <c r="G29" s="551"/>
      <c r="H29" s="552"/>
      <c r="I29" s="845"/>
      <c r="K29" s="559"/>
    </row>
    <row r="30" spans="1:11" ht="14.45" hidden="1" x14ac:dyDescent="0.3">
      <c r="A30" s="366"/>
      <c r="B30" s="549"/>
      <c r="C30" s="550"/>
      <c r="D30" s="769"/>
      <c r="E30" s="395"/>
      <c r="F30" s="369"/>
      <c r="G30" s="551"/>
      <c r="H30" s="552"/>
      <c r="I30" s="845"/>
      <c r="K30" s="559"/>
    </row>
    <row r="31" spans="1:11" ht="14.45" hidden="1" x14ac:dyDescent="0.3">
      <c r="A31" s="366"/>
      <c r="B31" s="549"/>
      <c r="C31" s="550"/>
      <c r="D31" s="769"/>
      <c r="E31" s="395"/>
      <c r="F31" s="369"/>
      <c r="G31" s="551"/>
      <c r="H31" s="552"/>
      <c r="I31" s="845"/>
      <c r="K31" s="559"/>
    </row>
    <row r="32" spans="1:11" ht="14.45" hidden="1" x14ac:dyDescent="0.3">
      <c r="A32" s="366"/>
      <c r="B32" s="549"/>
      <c r="C32" s="550"/>
      <c r="D32" s="769"/>
      <c r="E32" s="395"/>
      <c r="F32" s="369"/>
      <c r="G32" s="551"/>
      <c r="H32" s="552"/>
      <c r="I32" s="845"/>
      <c r="K32" s="559"/>
    </row>
    <row r="33" spans="1:11" ht="14.45" hidden="1" x14ac:dyDescent="0.3">
      <c r="A33" s="366"/>
      <c r="B33" s="549"/>
      <c r="C33" s="550"/>
      <c r="D33" s="769"/>
      <c r="E33" s="395"/>
      <c r="F33" s="369"/>
      <c r="G33" s="551"/>
      <c r="H33" s="552"/>
      <c r="I33" s="845"/>
      <c r="K33" s="559"/>
    </row>
    <row r="34" spans="1:11" ht="14.45" hidden="1" x14ac:dyDescent="0.3">
      <c r="A34" s="366"/>
      <c r="B34" s="549"/>
      <c r="C34" s="550"/>
      <c r="D34" s="769"/>
      <c r="E34" s="395"/>
      <c r="F34" s="369"/>
      <c r="G34" s="551"/>
      <c r="H34" s="552"/>
      <c r="K34" s="559"/>
    </row>
    <row r="35" spans="1:11" ht="14.45" hidden="1" x14ac:dyDescent="0.3">
      <c r="A35" s="366"/>
      <c r="B35" s="549"/>
      <c r="C35" s="550"/>
      <c r="D35" s="769"/>
      <c r="E35" s="395"/>
      <c r="F35" s="369"/>
      <c r="G35" s="551"/>
      <c r="H35" s="552"/>
      <c r="K35" s="559"/>
    </row>
    <row r="36" spans="1:11" ht="13.15" x14ac:dyDescent="0.3">
      <c r="A36" s="1444" t="s">
        <v>545</v>
      </c>
      <c r="B36" s="1444"/>
      <c r="C36" s="1444"/>
      <c r="D36" s="1444"/>
      <c r="E36" s="827"/>
      <c r="F36" s="370">
        <f>SUM(F13:F25)</f>
        <v>0</v>
      </c>
      <c r="G36" s="1444" t="s">
        <v>1188</v>
      </c>
      <c r="H36" s="1444"/>
    </row>
    <row r="37" spans="1:11" ht="13.15" x14ac:dyDescent="0.3">
      <c r="A37" s="359"/>
      <c r="B37" s="359"/>
      <c r="C37" s="372"/>
      <c r="D37" s="779"/>
      <c r="E37" s="358"/>
      <c r="F37" s="358"/>
      <c r="G37" s="359"/>
      <c r="H37" s="362"/>
    </row>
    <row r="38" spans="1:11" ht="13.9" x14ac:dyDescent="0.25">
      <c r="A38" s="359"/>
      <c r="B38" s="359"/>
      <c r="C38" s="357"/>
      <c r="D38" s="779"/>
      <c r="E38" s="358"/>
      <c r="F38" s="358"/>
      <c r="G38" s="359"/>
      <c r="H38" s="44" t="s">
        <v>82</v>
      </c>
    </row>
    <row r="39" spans="1:11" ht="13.9" x14ac:dyDescent="0.25">
      <c r="A39" s="359"/>
      <c r="B39" s="359"/>
      <c r="C39" s="357"/>
      <c r="D39" s="779"/>
      <c r="E39" s="358"/>
      <c r="F39" s="358"/>
      <c r="G39" s="359"/>
      <c r="H39" s="45"/>
    </row>
    <row r="40" spans="1:11" ht="13.9" x14ac:dyDescent="0.25">
      <c r="A40" s="359"/>
      <c r="B40" s="359"/>
      <c r="C40" s="357"/>
      <c r="D40" s="779"/>
      <c r="E40" s="358"/>
      <c r="F40" s="358"/>
      <c r="G40" s="359"/>
      <c r="H40" s="44" t="s">
        <v>1516</v>
      </c>
    </row>
    <row r="41" spans="1:11" ht="13.9" x14ac:dyDescent="0.25">
      <c r="A41" s="359"/>
      <c r="B41" s="359"/>
      <c r="C41" s="357"/>
      <c r="D41" s="779"/>
      <c r="E41" s="358"/>
      <c r="F41" s="358"/>
      <c r="G41" s="359"/>
      <c r="H41" s="45" t="s">
        <v>83</v>
      </c>
    </row>
    <row r="42" spans="1:11" ht="13.9" x14ac:dyDescent="0.25">
      <c r="A42" s="359"/>
      <c r="B42" s="359"/>
      <c r="C42" s="357"/>
      <c r="D42" s="779"/>
      <c r="E42" s="358"/>
      <c r="F42" s="358"/>
      <c r="G42" s="359"/>
      <c r="H42" s="45" t="s">
        <v>1517</v>
      </c>
    </row>
    <row r="43" spans="1:11" ht="13.15" x14ac:dyDescent="0.3">
      <c r="A43" s="359"/>
      <c r="B43" s="359"/>
      <c r="C43" s="357"/>
      <c r="D43" s="779"/>
      <c r="E43" s="358"/>
      <c r="F43" s="358"/>
      <c r="G43" s="359"/>
      <c r="H43" s="362"/>
    </row>
    <row r="45" spans="1:11" ht="13.15" x14ac:dyDescent="0.3">
      <c r="A45" s="378"/>
    </row>
    <row r="46" spans="1:11" ht="13.15" x14ac:dyDescent="0.3">
      <c r="A46" s="378"/>
      <c r="H46" s="389"/>
    </row>
    <row r="47" spans="1:11" x14ac:dyDescent="0.25">
      <c r="A47" s="378"/>
    </row>
    <row r="48" spans="1:11" x14ac:dyDescent="0.25">
      <c r="A48" s="378"/>
      <c r="H48" s="389"/>
    </row>
    <row r="49" spans="1:13" x14ac:dyDescent="0.25">
      <c r="A49" s="378"/>
    </row>
    <row r="50" spans="1:13" x14ac:dyDescent="0.25">
      <c r="A50" s="378"/>
      <c r="H50" s="389"/>
    </row>
    <row r="51" spans="1:13" x14ac:dyDescent="0.25">
      <c r="A51" s="378"/>
    </row>
    <row r="52" spans="1:13" x14ac:dyDescent="0.25">
      <c r="A52" s="378"/>
      <c r="I52" s="374"/>
    </row>
    <row r="53" spans="1:13" x14ac:dyDescent="0.25">
      <c r="A53" s="378"/>
      <c r="H53" s="389"/>
      <c r="I53" s="374"/>
    </row>
    <row r="54" spans="1:13" x14ac:dyDescent="0.25">
      <c r="A54" s="378"/>
      <c r="I54" s="374"/>
      <c r="J54" s="374"/>
      <c r="K54" s="374"/>
      <c r="L54" s="374"/>
      <c r="M54" s="374"/>
    </row>
    <row r="55" spans="1:13" x14ac:dyDescent="0.25">
      <c r="A55" s="378"/>
      <c r="H55" s="389"/>
      <c r="I55" s="374"/>
      <c r="J55" s="374"/>
      <c r="K55" s="374"/>
      <c r="L55" s="374"/>
      <c r="M55" s="374"/>
    </row>
    <row r="56" spans="1:13" x14ac:dyDescent="0.25">
      <c r="A56" s="378"/>
      <c r="I56" s="374"/>
      <c r="J56" s="374"/>
      <c r="K56" s="374"/>
      <c r="L56" s="374"/>
      <c r="M56" s="374"/>
    </row>
    <row r="57" spans="1:13" x14ac:dyDescent="0.25">
      <c r="A57" s="378"/>
      <c r="I57" s="374"/>
      <c r="J57" s="374"/>
      <c r="K57" s="374"/>
      <c r="L57" s="374"/>
      <c r="M57" s="374"/>
    </row>
    <row r="58" spans="1:13" x14ac:dyDescent="0.25">
      <c r="A58" s="378"/>
      <c r="H58" s="389"/>
      <c r="I58" s="374"/>
      <c r="J58" s="374"/>
      <c r="K58" s="374"/>
      <c r="L58" s="374"/>
      <c r="M58" s="374"/>
    </row>
    <row r="59" spans="1:13" x14ac:dyDescent="0.25">
      <c r="A59" s="378"/>
      <c r="B59" s="363"/>
      <c r="H59" s="389"/>
      <c r="I59" s="374"/>
      <c r="J59" s="374"/>
      <c r="K59" s="374"/>
      <c r="L59" s="374"/>
      <c r="M59" s="374"/>
    </row>
    <row r="60" spans="1:13" x14ac:dyDescent="0.25">
      <c r="A60" s="378"/>
      <c r="H60" s="389"/>
      <c r="I60" s="374"/>
      <c r="J60" s="374"/>
      <c r="K60" s="374"/>
      <c r="L60" s="374"/>
      <c r="M60" s="374"/>
    </row>
    <row r="61" spans="1:13" x14ac:dyDescent="0.25">
      <c r="A61" s="378"/>
      <c r="H61" s="389"/>
      <c r="I61" s="374"/>
      <c r="J61" s="374"/>
      <c r="K61" s="374"/>
      <c r="L61" s="374"/>
      <c r="M61" s="374"/>
    </row>
    <row r="62" spans="1:13" x14ac:dyDescent="0.25">
      <c r="A62" s="378"/>
      <c r="H62" s="389"/>
      <c r="I62" s="374"/>
      <c r="J62" s="374"/>
      <c r="K62" s="374"/>
      <c r="L62" s="374"/>
      <c r="M62" s="374"/>
    </row>
    <row r="63" spans="1:13" x14ac:dyDescent="0.25">
      <c r="A63" s="378"/>
      <c r="H63" s="389"/>
      <c r="I63" s="374"/>
      <c r="J63" s="374"/>
      <c r="K63" s="374"/>
      <c r="L63" s="374"/>
      <c r="M63" s="374"/>
    </row>
    <row r="64" spans="1:13" x14ac:dyDescent="0.25">
      <c r="A64" s="378"/>
      <c r="H64" s="389"/>
      <c r="I64" s="374"/>
      <c r="J64" s="374"/>
      <c r="K64" s="374"/>
      <c r="L64" s="374"/>
      <c r="M64" s="374"/>
    </row>
    <row r="65" spans="1:13" x14ac:dyDescent="0.25">
      <c r="A65" s="378"/>
      <c r="H65" s="389"/>
      <c r="I65" s="374"/>
      <c r="J65" s="374"/>
      <c r="K65" s="374"/>
      <c r="L65" s="374"/>
      <c r="M65" s="374"/>
    </row>
    <row r="66" spans="1:13" x14ac:dyDescent="0.25">
      <c r="A66" s="376"/>
      <c r="D66" s="786"/>
      <c r="E66" s="380"/>
      <c r="F66" s="380"/>
      <c r="G66" s="374"/>
      <c r="I66" s="374"/>
      <c r="J66" s="374"/>
      <c r="K66" s="374"/>
      <c r="L66" s="374"/>
      <c r="M66" s="374"/>
    </row>
    <row r="67" spans="1:13" x14ac:dyDescent="0.25">
      <c r="A67" s="376"/>
      <c r="D67" s="786"/>
      <c r="E67" s="380"/>
      <c r="F67" s="380"/>
      <c r="G67" s="374"/>
      <c r="I67" s="374"/>
      <c r="J67" s="374"/>
      <c r="K67" s="374"/>
      <c r="L67" s="374"/>
      <c r="M67" s="374"/>
    </row>
    <row r="68" spans="1:13" x14ac:dyDescent="0.25">
      <c r="D68" s="786"/>
      <c r="E68" s="380"/>
      <c r="F68" s="380"/>
      <c r="G68" s="374"/>
      <c r="I68" s="374"/>
      <c r="J68" s="374"/>
      <c r="K68" s="374"/>
      <c r="L68" s="374"/>
      <c r="M68" s="374"/>
    </row>
    <row r="69" spans="1:13" x14ac:dyDescent="0.25">
      <c r="D69" s="786"/>
      <c r="E69" s="380"/>
      <c r="F69" s="380"/>
      <c r="G69" s="374"/>
      <c r="I69" s="374"/>
      <c r="J69" s="374"/>
      <c r="K69" s="374"/>
      <c r="L69" s="374"/>
      <c r="M69" s="374"/>
    </row>
    <row r="70" spans="1:13" x14ac:dyDescent="0.25">
      <c r="A70" s="376"/>
      <c r="D70" s="786"/>
      <c r="E70" s="380"/>
      <c r="F70" s="380"/>
      <c r="G70" s="374"/>
      <c r="I70" s="374"/>
      <c r="J70" s="374"/>
      <c r="K70" s="374"/>
      <c r="L70" s="374"/>
      <c r="M70" s="374"/>
    </row>
    <row r="71" spans="1:13" x14ac:dyDescent="0.25">
      <c r="A71" s="376"/>
      <c r="D71" s="786"/>
      <c r="E71" s="380"/>
      <c r="F71" s="380"/>
      <c r="G71" s="374"/>
      <c r="I71" s="374"/>
      <c r="J71" s="374"/>
      <c r="K71" s="374"/>
      <c r="L71" s="374"/>
      <c r="M71" s="374"/>
    </row>
    <row r="72" spans="1:13" x14ac:dyDescent="0.25">
      <c r="A72" s="376"/>
      <c r="D72" s="786"/>
      <c r="E72" s="380"/>
      <c r="F72" s="380"/>
      <c r="G72" s="374"/>
      <c r="I72" s="374"/>
      <c r="J72" s="374"/>
      <c r="K72" s="374"/>
      <c r="L72" s="374"/>
      <c r="M72" s="374"/>
    </row>
    <row r="73" spans="1:13" x14ac:dyDescent="0.25">
      <c r="A73" s="376"/>
      <c r="D73" s="786"/>
      <c r="E73" s="380"/>
      <c r="F73" s="380"/>
      <c r="G73" s="374"/>
      <c r="I73" s="374"/>
      <c r="J73" s="374"/>
      <c r="K73" s="374"/>
      <c r="L73" s="374"/>
      <c r="M73" s="374"/>
    </row>
    <row r="74" spans="1:13" x14ac:dyDescent="0.25">
      <c r="A74" s="376"/>
      <c r="D74" s="786"/>
      <c r="E74" s="380"/>
      <c r="F74" s="380"/>
      <c r="G74" s="374"/>
      <c r="I74" s="374"/>
      <c r="J74" s="374"/>
      <c r="K74" s="374"/>
      <c r="L74" s="374"/>
      <c r="M74" s="374"/>
    </row>
    <row r="75" spans="1:13" x14ac:dyDescent="0.25">
      <c r="A75" s="376"/>
      <c r="D75" s="786"/>
      <c r="E75" s="380"/>
      <c r="F75" s="380"/>
      <c r="G75" s="374"/>
      <c r="I75" s="374"/>
      <c r="J75" s="374"/>
      <c r="K75" s="374"/>
      <c r="L75" s="374"/>
      <c r="M75" s="374"/>
    </row>
    <row r="76" spans="1:13" x14ac:dyDescent="0.25">
      <c r="A76" s="376"/>
      <c r="D76" s="786"/>
      <c r="E76" s="380"/>
      <c r="F76" s="380"/>
      <c r="G76" s="374"/>
      <c r="I76" s="374"/>
      <c r="J76" s="374"/>
      <c r="K76" s="374"/>
      <c r="L76" s="374"/>
      <c r="M76" s="374"/>
    </row>
    <row r="77" spans="1:13" x14ac:dyDescent="0.25">
      <c r="A77" s="376"/>
      <c r="D77" s="786"/>
      <c r="E77" s="380"/>
      <c r="F77" s="380"/>
      <c r="G77" s="374"/>
      <c r="I77" s="374"/>
      <c r="J77" s="374"/>
      <c r="K77" s="374"/>
      <c r="L77" s="374"/>
      <c r="M77" s="374"/>
    </row>
    <row r="78" spans="1:13" x14ac:dyDescent="0.25">
      <c r="A78" s="376"/>
      <c r="D78" s="786"/>
      <c r="E78" s="380"/>
      <c r="F78" s="380"/>
      <c r="G78" s="374"/>
      <c r="I78" s="374"/>
      <c r="J78" s="374"/>
      <c r="K78" s="374"/>
      <c r="L78" s="374"/>
      <c r="M78" s="374"/>
    </row>
    <row r="79" spans="1:13" x14ac:dyDescent="0.25">
      <c r="A79" s="376"/>
      <c r="D79" s="786"/>
      <c r="E79" s="380"/>
      <c r="F79" s="380"/>
      <c r="G79" s="374"/>
      <c r="I79" s="374"/>
      <c r="J79" s="374"/>
      <c r="K79" s="374"/>
      <c r="L79" s="374"/>
      <c r="M79" s="374"/>
    </row>
    <row r="80" spans="1:13" x14ac:dyDescent="0.25">
      <c r="A80" s="376"/>
      <c r="D80" s="786"/>
      <c r="E80" s="380"/>
      <c r="F80" s="380"/>
      <c r="G80" s="374"/>
      <c r="I80" s="374"/>
      <c r="J80" s="374"/>
      <c r="K80" s="374"/>
      <c r="L80" s="374"/>
      <c r="M80" s="374"/>
    </row>
    <row r="81" spans="1:13" x14ac:dyDescent="0.25">
      <c r="A81" s="376"/>
      <c r="D81" s="786"/>
      <c r="E81" s="380"/>
      <c r="F81" s="380"/>
      <c r="G81" s="374"/>
      <c r="I81" s="374"/>
      <c r="J81" s="374"/>
      <c r="K81" s="374"/>
      <c r="L81" s="374"/>
      <c r="M81" s="374"/>
    </row>
    <row r="82" spans="1:13" x14ac:dyDescent="0.25">
      <c r="A82" s="376"/>
      <c r="D82" s="786"/>
      <c r="E82" s="380"/>
      <c r="F82" s="380"/>
      <c r="G82" s="374"/>
      <c r="I82" s="374"/>
      <c r="J82" s="374"/>
      <c r="K82" s="374"/>
      <c r="L82" s="374"/>
      <c r="M82" s="374"/>
    </row>
    <row r="83" spans="1:13" x14ac:dyDescent="0.25">
      <c r="A83" s="376"/>
      <c r="D83" s="786"/>
      <c r="E83" s="380"/>
      <c r="F83" s="380"/>
      <c r="G83" s="374"/>
      <c r="I83" s="374"/>
      <c r="J83" s="374"/>
      <c r="K83" s="374"/>
      <c r="L83" s="374"/>
      <c r="M83" s="374"/>
    </row>
    <row r="84" spans="1:13" x14ac:dyDescent="0.25">
      <c r="A84" s="376"/>
      <c r="D84" s="786"/>
      <c r="E84" s="380"/>
      <c r="F84" s="380"/>
      <c r="G84" s="374"/>
      <c r="I84" s="374"/>
      <c r="J84" s="374"/>
      <c r="K84" s="374"/>
      <c r="L84" s="374"/>
      <c r="M84" s="374"/>
    </row>
    <row r="85" spans="1:13" x14ac:dyDescent="0.25">
      <c r="A85" s="376"/>
      <c r="D85" s="786"/>
      <c r="E85" s="380"/>
      <c r="F85" s="380"/>
      <c r="G85" s="374"/>
      <c r="I85" s="374"/>
      <c r="J85" s="374"/>
      <c r="K85" s="374"/>
      <c r="L85" s="374"/>
      <c r="M85" s="374"/>
    </row>
    <row r="86" spans="1:13" x14ac:dyDescent="0.25">
      <c r="D86" s="786"/>
      <c r="E86" s="380"/>
      <c r="F86" s="380"/>
      <c r="G86" s="374"/>
      <c r="I86" s="374"/>
      <c r="J86" s="374"/>
      <c r="K86" s="374"/>
      <c r="L86" s="374"/>
      <c r="M86" s="374"/>
    </row>
    <row r="87" spans="1:13" x14ac:dyDescent="0.25">
      <c r="D87" s="786"/>
      <c r="E87" s="380"/>
      <c r="F87" s="380"/>
      <c r="G87" s="374"/>
      <c r="I87" s="374"/>
      <c r="J87" s="374"/>
      <c r="K87" s="374"/>
      <c r="L87" s="374"/>
      <c r="M87" s="374"/>
    </row>
    <row r="88" spans="1:13" x14ac:dyDescent="0.25">
      <c r="D88" s="786"/>
      <c r="E88" s="380"/>
      <c r="F88" s="380"/>
      <c r="G88" s="374"/>
      <c r="I88" s="374"/>
      <c r="J88" s="374"/>
      <c r="K88" s="374"/>
      <c r="L88" s="374"/>
      <c r="M88" s="374"/>
    </row>
    <row r="89" spans="1:13" x14ac:dyDescent="0.25">
      <c r="A89" s="376"/>
      <c r="D89" s="786"/>
      <c r="E89" s="380"/>
      <c r="F89" s="380"/>
      <c r="G89" s="374"/>
      <c r="I89" s="374"/>
      <c r="J89" s="374"/>
      <c r="K89" s="374"/>
      <c r="L89" s="374"/>
      <c r="M89" s="374"/>
    </row>
    <row r="90" spans="1:13" x14ac:dyDescent="0.25">
      <c r="A90" s="376"/>
      <c r="D90" s="786"/>
      <c r="E90" s="380"/>
      <c r="F90" s="380"/>
      <c r="G90" s="374"/>
      <c r="I90" s="374"/>
      <c r="J90" s="374"/>
      <c r="K90" s="374"/>
      <c r="L90" s="374"/>
      <c r="M90" s="374"/>
    </row>
    <row r="91" spans="1:13" x14ac:dyDescent="0.25">
      <c r="A91" s="376"/>
      <c r="D91" s="786"/>
      <c r="E91" s="380"/>
      <c r="F91" s="380"/>
      <c r="G91" s="374"/>
      <c r="I91" s="374"/>
      <c r="J91" s="374"/>
      <c r="K91" s="374"/>
      <c r="L91" s="374"/>
      <c r="M91" s="374"/>
    </row>
    <row r="92" spans="1:13" x14ac:dyDescent="0.25">
      <c r="A92" s="376"/>
      <c r="D92" s="786"/>
      <c r="E92" s="380"/>
      <c r="F92" s="380"/>
      <c r="G92" s="374"/>
      <c r="I92" s="374"/>
      <c r="J92" s="374"/>
      <c r="K92" s="374"/>
      <c r="L92" s="374"/>
      <c r="M92" s="374"/>
    </row>
    <row r="93" spans="1:13" x14ac:dyDescent="0.25">
      <c r="A93" s="376"/>
      <c r="D93" s="786"/>
      <c r="E93" s="380"/>
      <c r="F93" s="380"/>
      <c r="G93" s="374"/>
      <c r="I93" s="374"/>
      <c r="J93" s="374"/>
      <c r="K93" s="374"/>
      <c r="L93" s="374"/>
      <c r="M93" s="374"/>
    </row>
    <row r="94" spans="1:13" x14ac:dyDescent="0.25">
      <c r="A94" s="376"/>
      <c r="D94" s="786"/>
      <c r="E94" s="380"/>
      <c r="F94" s="380"/>
      <c r="G94" s="374"/>
      <c r="I94" s="374"/>
      <c r="J94" s="374"/>
      <c r="K94" s="374"/>
      <c r="L94" s="374"/>
      <c r="M94" s="374"/>
    </row>
    <row r="95" spans="1:13" x14ac:dyDescent="0.25">
      <c r="A95" s="376"/>
      <c r="D95" s="786"/>
      <c r="E95" s="380"/>
      <c r="F95" s="380"/>
      <c r="G95" s="374"/>
      <c r="I95" s="374"/>
      <c r="J95" s="374"/>
      <c r="K95" s="374"/>
      <c r="L95" s="374"/>
      <c r="M95" s="374"/>
    </row>
    <row r="96" spans="1:13" x14ac:dyDescent="0.25">
      <c r="A96" s="376"/>
      <c r="D96" s="786"/>
      <c r="E96" s="380"/>
      <c r="F96" s="380"/>
      <c r="G96" s="374"/>
      <c r="J96" s="374"/>
      <c r="K96" s="374"/>
      <c r="L96" s="374"/>
      <c r="M96" s="374"/>
    </row>
    <row r="97" spans="1:14" x14ac:dyDescent="0.25">
      <c r="D97" s="786"/>
      <c r="E97" s="380"/>
      <c r="F97" s="380"/>
      <c r="G97" s="374"/>
      <c r="J97" s="374"/>
      <c r="K97" s="374"/>
      <c r="L97" s="374"/>
      <c r="M97" s="374"/>
    </row>
    <row r="98" spans="1:14" x14ac:dyDescent="0.25">
      <c r="C98" s="381"/>
      <c r="D98" s="787"/>
      <c r="E98" s="382"/>
    </row>
    <row r="99" spans="1:14" s="375" customFormat="1" x14ac:dyDescent="0.25">
      <c r="A99" s="376"/>
      <c r="B99" s="360"/>
      <c r="C99" s="381"/>
      <c r="D99" s="787"/>
      <c r="E99" s="382"/>
      <c r="G99" s="360"/>
      <c r="H99" s="373"/>
      <c r="I99" s="360"/>
      <c r="J99" s="360"/>
      <c r="K99" s="360"/>
      <c r="L99" s="360"/>
      <c r="M99" s="360"/>
      <c r="N99" s="360"/>
    </row>
    <row r="100" spans="1:14" s="375" customFormat="1" x14ac:dyDescent="0.25">
      <c r="A100" s="376"/>
      <c r="B100" s="360"/>
      <c r="C100" s="381"/>
      <c r="D100" s="787"/>
      <c r="E100" s="382"/>
      <c r="G100" s="360"/>
      <c r="H100" s="373"/>
      <c r="I100" s="360"/>
      <c r="J100" s="360"/>
      <c r="K100" s="360"/>
      <c r="L100" s="360"/>
      <c r="M100" s="360"/>
      <c r="N100" s="360"/>
    </row>
    <row r="101" spans="1:14" s="375" customFormat="1" x14ac:dyDescent="0.25">
      <c r="A101" s="376"/>
      <c r="B101" s="360"/>
      <c r="C101" s="381"/>
      <c r="D101" s="787"/>
      <c r="E101" s="382"/>
      <c r="G101" s="360"/>
      <c r="H101" s="373"/>
      <c r="I101" s="360"/>
      <c r="J101" s="360"/>
      <c r="K101" s="360"/>
      <c r="L101" s="360"/>
      <c r="M101" s="360"/>
      <c r="N101" s="360"/>
    </row>
    <row r="102" spans="1:14" s="375" customFormat="1" x14ac:dyDescent="0.25">
      <c r="A102" s="376"/>
      <c r="B102" s="360"/>
      <c r="C102" s="381"/>
      <c r="D102" s="787"/>
      <c r="E102" s="382"/>
      <c r="G102" s="360"/>
      <c r="H102" s="373"/>
      <c r="I102" s="360"/>
      <c r="J102" s="360"/>
      <c r="K102" s="360"/>
      <c r="L102" s="360"/>
      <c r="M102" s="360"/>
      <c r="N102" s="360"/>
    </row>
    <row r="103" spans="1:14" s="375" customFormat="1" x14ac:dyDescent="0.25">
      <c r="A103" s="376"/>
      <c r="B103" s="360"/>
      <c r="C103" s="381"/>
      <c r="D103" s="787"/>
      <c r="E103" s="382"/>
      <c r="G103" s="360"/>
      <c r="H103" s="373"/>
      <c r="I103" s="360"/>
      <c r="J103" s="360"/>
      <c r="K103" s="360"/>
      <c r="L103" s="360"/>
      <c r="M103" s="360"/>
      <c r="N103" s="360"/>
    </row>
    <row r="104" spans="1:14" s="375" customFormat="1" x14ac:dyDescent="0.25">
      <c r="A104" s="376"/>
      <c r="B104" s="360"/>
      <c r="C104" s="381"/>
      <c r="D104" s="787"/>
      <c r="E104" s="382"/>
      <c r="G104" s="360"/>
      <c r="H104" s="373"/>
      <c r="I104" s="360"/>
      <c r="J104" s="360"/>
      <c r="K104" s="360"/>
      <c r="L104" s="360"/>
      <c r="M104" s="360"/>
      <c r="N104" s="360"/>
    </row>
    <row r="105" spans="1:14" s="375" customFormat="1" x14ac:dyDescent="0.25">
      <c r="A105" s="376"/>
      <c r="B105" s="360"/>
      <c r="C105" s="374"/>
      <c r="D105" s="787"/>
      <c r="E105" s="382"/>
      <c r="G105" s="360"/>
      <c r="H105" s="373"/>
      <c r="I105" s="360"/>
      <c r="J105" s="360"/>
      <c r="K105" s="360"/>
      <c r="L105" s="360"/>
      <c r="M105" s="360"/>
      <c r="N105" s="360"/>
    </row>
    <row r="106" spans="1:14" s="375" customFormat="1" x14ac:dyDescent="0.25">
      <c r="A106" s="376"/>
      <c r="B106" s="360"/>
      <c r="C106" s="374"/>
      <c r="D106" s="787"/>
      <c r="E106" s="382"/>
      <c r="G106" s="360"/>
      <c r="H106" s="373"/>
      <c r="I106" s="360"/>
      <c r="J106" s="360"/>
      <c r="K106" s="360"/>
      <c r="L106" s="360"/>
      <c r="M106" s="360"/>
      <c r="N106" s="360"/>
    </row>
    <row r="107" spans="1:14" s="375" customFormat="1" x14ac:dyDescent="0.25">
      <c r="A107" s="376"/>
      <c r="B107" s="360"/>
      <c r="C107" s="381"/>
      <c r="D107" s="787"/>
      <c r="E107" s="382"/>
      <c r="G107" s="360"/>
      <c r="H107" s="373"/>
      <c r="I107" s="360"/>
      <c r="J107" s="360"/>
      <c r="K107" s="360"/>
      <c r="L107" s="360"/>
      <c r="M107" s="360"/>
      <c r="N107" s="360"/>
    </row>
    <row r="108" spans="1:14" s="375" customFormat="1" x14ac:dyDescent="0.25">
      <c r="A108" s="376"/>
      <c r="B108" s="360"/>
      <c r="C108" s="381"/>
      <c r="D108" s="787"/>
      <c r="E108" s="382"/>
      <c r="G108" s="360"/>
      <c r="H108" s="373"/>
      <c r="I108" s="360"/>
      <c r="J108" s="360"/>
      <c r="K108" s="360"/>
      <c r="L108" s="360"/>
      <c r="M108" s="360"/>
      <c r="N108" s="360"/>
    </row>
    <row r="109" spans="1:14" s="375" customFormat="1" x14ac:dyDescent="0.25">
      <c r="A109" s="376"/>
      <c r="B109" s="360"/>
      <c r="C109" s="381"/>
      <c r="D109" s="787"/>
      <c r="E109" s="382"/>
      <c r="G109" s="360"/>
      <c r="H109" s="373"/>
      <c r="I109" s="360"/>
      <c r="J109" s="360"/>
      <c r="K109" s="360"/>
      <c r="L109" s="360"/>
      <c r="M109" s="360"/>
      <c r="N109" s="360"/>
    </row>
    <row r="110" spans="1:14" s="375" customFormat="1" x14ac:dyDescent="0.25">
      <c r="A110" s="376"/>
      <c r="B110" s="360"/>
      <c r="C110" s="381"/>
      <c r="D110" s="787"/>
      <c r="E110" s="382"/>
      <c r="G110" s="360"/>
      <c r="H110" s="373"/>
      <c r="I110" s="360"/>
      <c r="J110" s="360"/>
      <c r="K110" s="360"/>
      <c r="L110" s="360"/>
      <c r="M110" s="360"/>
      <c r="N110" s="360"/>
    </row>
    <row r="111" spans="1:14" s="375" customFormat="1" x14ac:dyDescent="0.25">
      <c r="A111" s="376"/>
      <c r="B111" s="360"/>
      <c r="C111" s="381"/>
      <c r="D111" s="787"/>
      <c r="E111" s="382"/>
      <c r="G111" s="360"/>
      <c r="H111" s="373"/>
      <c r="I111" s="360"/>
      <c r="J111" s="360"/>
      <c r="K111" s="360"/>
      <c r="L111" s="360"/>
      <c r="M111" s="360"/>
      <c r="N111" s="360"/>
    </row>
    <row r="112" spans="1:14" s="375" customFormat="1" x14ac:dyDescent="0.25">
      <c r="A112" s="376"/>
      <c r="B112" s="360"/>
      <c r="C112" s="381"/>
      <c r="D112" s="787"/>
      <c r="E112" s="382"/>
      <c r="G112" s="360"/>
      <c r="H112" s="373"/>
      <c r="I112" s="360"/>
      <c r="J112" s="360"/>
      <c r="K112" s="360"/>
      <c r="L112" s="360"/>
      <c r="M112" s="360"/>
      <c r="N112" s="360"/>
    </row>
    <row r="113" spans="1:14" s="375" customFormat="1" x14ac:dyDescent="0.25">
      <c r="A113" s="360"/>
      <c r="B113" s="360"/>
      <c r="C113" s="381"/>
      <c r="D113" s="787"/>
      <c r="E113" s="382"/>
      <c r="G113" s="360"/>
      <c r="H113" s="373"/>
      <c r="I113" s="360"/>
      <c r="J113" s="360"/>
      <c r="K113" s="360"/>
      <c r="L113" s="360"/>
      <c r="M113" s="360"/>
      <c r="N113" s="360"/>
    </row>
    <row r="114" spans="1:14" s="375" customFormat="1" x14ac:dyDescent="0.25">
      <c r="A114" s="360"/>
      <c r="B114" s="360"/>
      <c r="C114" s="381"/>
      <c r="D114" s="787"/>
      <c r="E114" s="382"/>
      <c r="G114" s="360"/>
      <c r="H114" s="373"/>
      <c r="I114" s="360"/>
      <c r="J114" s="360"/>
      <c r="K114" s="360"/>
      <c r="L114" s="360"/>
      <c r="M114" s="360"/>
      <c r="N114" s="360"/>
    </row>
    <row r="115" spans="1:14" x14ac:dyDescent="0.25">
      <c r="C115" s="381"/>
      <c r="D115" s="787"/>
      <c r="E115" s="382"/>
    </row>
    <row r="116" spans="1:14" x14ac:dyDescent="0.25">
      <c r="C116" s="381"/>
      <c r="D116" s="787"/>
      <c r="E116" s="382"/>
    </row>
    <row r="117" spans="1:14" x14ac:dyDescent="0.25">
      <c r="C117" s="381"/>
      <c r="D117" s="787"/>
      <c r="E117" s="382"/>
    </row>
    <row r="118" spans="1:14" x14ac:dyDescent="0.25">
      <c r="C118" s="381"/>
      <c r="D118" s="787"/>
      <c r="E118" s="382"/>
    </row>
    <row r="119" spans="1:14" x14ac:dyDescent="0.25">
      <c r="C119" s="381"/>
      <c r="D119" s="787"/>
      <c r="E119" s="382"/>
    </row>
    <row r="120" spans="1:14" x14ac:dyDescent="0.25">
      <c r="C120" s="381"/>
      <c r="D120" s="787"/>
      <c r="E120" s="382"/>
    </row>
    <row r="121" spans="1:14" x14ac:dyDescent="0.25">
      <c r="C121" s="381"/>
      <c r="D121" s="787"/>
      <c r="E121" s="382"/>
    </row>
    <row r="122" spans="1:14" x14ac:dyDescent="0.25">
      <c r="C122" s="381"/>
      <c r="D122" s="787"/>
      <c r="E122" s="382"/>
      <c r="I122" s="385"/>
    </row>
    <row r="123" spans="1:14" x14ac:dyDescent="0.25">
      <c r="C123" s="381"/>
      <c r="D123" s="787"/>
      <c r="E123" s="382"/>
      <c r="I123" s="387"/>
    </row>
    <row r="124" spans="1:14" x14ac:dyDescent="0.25">
      <c r="A124" s="383"/>
      <c r="C124" s="384"/>
      <c r="D124" s="786"/>
      <c r="E124" s="380"/>
      <c r="G124" s="385"/>
      <c r="H124" s="386"/>
      <c r="I124" s="385"/>
      <c r="J124" s="385"/>
      <c r="K124" s="385"/>
      <c r="L124" s="385"/>
      <c r="M124" s="385"/>
    </row>
    <row r="125" spans="1:14" x14ac:dyDescent="0.25">
      <c r="A125" s="383"/>
      <c r="B125" s="385"/>
      <c r="C125" s="384"/>
      <c r="D125" s="786"/>
      <c r="E125" s="380"/>
      <c r="F125" s="380"/>
      <c r="G125" s="387"/>
      <c r="H125" s="569"/>
      <c r="I125" s="385"/>
      <c r="J125" s="387"/>
      <c r="K125" s="387"/>
      <c r="L125" s="387"/>
      <c r="M125" s="387"/>
    </row>
    <row r="126" spans="1:14" x14ac:dyDescent="0.25">
      <c r="A126" s="383"/>
      <c r="B126" s="385"/>
      <c r="C126" s="384"/>
      <c r="G126" s="385"/>
      <c r="H126" s="386"/>
      <c r="I126" s="385"/>
      <c r="J126" s="385"/>
      <c r="K126" s="385"/>
      <c r="L126" s="385"/>
      <c r="M126" s="385"/>
    </row>
    <row r="127" spans="1:14" x14ac:dyDescent="0.25">
      <c r="A127" s="383"/>
      <c r="B127" s="385"/>
      <c r="C127" s="384"/>
      <c r="G127" s="385"/>
      <c r="H127" s="386"/>
      <c r="I127" s="385"/>
      <c r="J127" s="385"/>
      <c r="K127" s="385"/>
      <c r="L127" s="385"/>
      <c r="M127" s="385"/>
    </row>
    <row r="128" spans="1:14" x14ac:dyDescent="0.25">
      <c r="A128" s="383"/>
      <c r="C128" s="384"/>
      <c r="G128" s="385"/>
      <c r="H128" s="386"/>
      <c r="I128" s="385"/>
      <c r="J128" s="385"/>
      <c r="K128" s="385"/>
      <c r="L128" s="385"/>
      <c r="M128" s="385"/>
    </row>
    <row r="129" spans="1:13" x14ac:dyDescent="0.25">
      <c r="A129" s="383"/>
      <c r="C129" s="384"/>
      <c r="G129" s="385"/>
      <c r="H129" s="386"/>
      <c r="I129" s="385"/>
      <c r="J129" s="385"/>
      <c r="K129" s="385"/>
      <c r="L129" s="385"/>
      <c r="M129" s="385"/>
    </row>
    <row r="130" spans="1:13" x14ac:dyDescent="0.25">
      <c r="A130" s="383"/>
      <c r="B130" s="570"/>
      <c r="C130" s="384"/>
      <c r="G130" s="385"/>
      <c r="H130" s="386"/>
      <c r="I130" s="385"/>
      <c r="J130" s="385"/>
      <c r="K130" s="385"/>
      <c r="L130" s="385"/>
      <c r="M130" s="385"/>
    </row>
    <row r="131" spans="1:13" x14ac:dyDescent="0.25">
      <c r="A131" s="383"/>
      <c r="C131" s="384"/>
      <c r="G131" s="385"/>
      <c r="H131" s="386"/>
      <c r="I131" s="385"/>
      <c r="J131" s="385"/>
      <c r="K131" s="385"/>
      <c r="L131" s="385"/>
      <c r="M131" s="385"/>
    </row>
    <row r="132" spans="1:13" x14ac:dyDescent="0.25">
      <c r="A132" s="383"/>
      <c r="B132" s="385"/>
      <c r="C132" s="384"/>
      <c r="G132" s="385"/>
      <c r="H132" s="386"/>
      <c r="I132" s="385"/>
      <c r="J132" s="385"/>
      <c r="K132" s="385"/>
      <c r="L132" s="385"/>
      <c r="M132" s="385"/>
    </row>
    <row r="133" spans="1:13" x14ac:dyDescent="0.25">
      <c r="A133" s="383"/>
      <c r="B133" s="385"/>
      <c r="C133" s="384"/>
      <c r="G133" s="385"/>
      <c r="H133" s="386"/>
      <c r="I133" s="385"/>
      <c r="J133" s="385"/>
      <c r="K133" s="385"/>
      <c r="L133" s="385"/>
      <c r="M133" s="385"/>
    </row>
    <row r="134" spans="1:13" x14ac:dyDescent="0.25">
      <c r="A134" s="383"/>
      <c r="B134" s="385"/>
      <c r="C134" s="384"/>
      <c r="G134" s="385"/>
      <c r="H134" s="386"/>
      <c r="I134" s="385"/>
      <c r="J134" s="385"/>
      <c r="K134" s="385"/>
      <c r="L134" s="385"/>
      <c r="M134" s="385"/>
    </row>
    <row r="135" spans="1:13" x14ac:dyDescent="0.25">
      <c r="A135" s="383"/>
      <c r="B135" s="385"/>
      <c r="C135" s="384"/>
      <c r="G135" s="385"/>
      <c r="H135" s="386"/>
      <c r="I135" s="385"/>
      <c r="J135" s="385"/>
      <c r="K135" s="385"/>
      <c r="L135" s="385"/>
      <c r="M135" s="385"/>
    </row>
    <row r="136" spans="1:13" x14ac:dyDescent="0.25">
      <c r="A136" s="383"/>
      <c r="B136" s="385"/>
      <c r="C136" s="384"/>
      <c r="G136" s="385"/>
      <c r="H136" s="386"/>
      <c r="I136" s="385"/>
      <c r="J136" s="385"/>
      <c r="K136" s="385"/>
      <c r="L136" s="385"/>
      <c r="M136" s="385"/>
    </row>
    <row r="137" spans="1:13" x14ac:dyDescent="0.25">
      <c r="A137" s="383"/>
      <c r="B137" s="385"/>
      <c r="C137" s="384"/>
      <c r="G137" s="385"/>
      <c r="H137" s="386"/>
      <c r="I137" s="385"/>
      <c r="J137" s="385"/>
      <c r="K137" s="385"/>
      <c r="L137" s="385"/>
      <c r="M137" s="385"/>
    </row>
    <row r="138" spans="1:13" x14ac:dyDescent="0.25">
      <c r="C138" s="384"/>
      <c r="G138" s="385"/>
      <c r="H138" s="386"/>
      <c r="I138" s="385"/>
      <c r="J138" s="385"/>
      <c r="K138" s="385"/>
      <c r="L138" s="385"/>
      <c r="M138" s="385"/>
    </row>
    <row r="139" spans="1:13" x14ac:dyDescent="0.25">
      <c r="B139" s="385"/>
      <c r="C139" s="384"/>
      <c r="G139" s="385"/>
      <c r="H139" s="386"/>
      <c r="I139" s="385"/>
      <c r="J139" s="385"/>
      <c r="K139" s="385"/>
      <c r="L139" s="385"/>
      <c r="M139" s="385"/>
    </row>
    <row r="140" spans="1:13" x14ac:dyDescent="0.25">
      <c r="B140" s="385"/>
      <c r="C140" s="384"/>
      <c r="G140" s="385"/>
      <c r="H140" s="386"/>
      <c r="I140" s="385"/>
      <c r="J140" s="385"/>
      <c r="K140" s="385"/>
      <c r="L140" s="385"/>
      <c r="M140" s="385"/>
    </row>
    <row r="141" spans="1:13" x14ac:dyDescent="0.25">
      <c r="B141" s="385"/>
      <c r="C141" s="384"/>
      <c r="G141" s="385"/>
      <c r="H141" s="386"/>
      <c r="I141" s="385"/>
      <c r="J141" s="385"/>
      <c r="K141" s="385"/>
      <c r="L141" s="385"/>
      <c r="M141" s="385"/>
    </row>
    <row r="142" spans="1:13" x14ac:dyDescent="0.25">
      <c r="B142" s="570"/>
      <c r="C142" s="384"/>
      <c r="G142" s="385"/>
      <c r="H142" s="386"/>
      <c r="I142" s="385"/>
      <c r="J142" s="385"/>
      <c r="K142" s="385"/>
      <c r="L142" s="385"/>
      <c r="M142" s="385"/>
    </row>
    <row r="143" spans="1:13" x14ac:dyDescent="0.25">
      <c r="B143" s="385"/>
      <c r="C143" s="384"/>
      <c r="G143" s="385"/>
      <c r="H143" s="386"/>
      <c r="I143" s="385"/>
      <c r="J143" s="385"/>
      <c r="K143" s="385"/>
      <c r="L143" s="385"/>
      <c r="M143" s="385"/>
    </row>
    <row r="144" spans="1:13" x14ac:dyDescent="0.25">
      <c r="B144" s="385"/>
      <c r="C144" s="384"/>
      <c r="G144" s="385"/>
      <c r="H144" s="386"/>
      <c r="I144" s="385"/>
      <c r="J144" s="385"/>
      <c r="K144" s="385"/>
      <c r="L144" s="385"/>
      <c r="M144" s="385"/>
    </row>
    <row r="145" spans="2:13" x14ac:dyDescent="0.25">
      <c r="B145" s="385"/>
      <c r="C145" s="384"/>
      <c r="G145" s="385"/>
      <c r="H145" s="386"/>
      <c r="I145" s="385"/>
      <c r="J145" s="385"/>
      <c r="K145" s="385"/>
      <c r="L145" s="385"/>
      <c r="M145" s="385"/>
    </row>
    <row r="146" spans="2:13" x14ac:dyDescent="0.25">
      <c r="B146" s="385"/>
      <c r="C146" s="384"/>
      <c r="G146" s="385"/>
      <c r="H146" s="386"/>
      <c r="I146" s="385"/>
      <c r="J146" s="385"/>
      <c r="K146" s="385"/>
      <c r="L146" s="385"/>
      <c r="M146" s="385"/>
    </row>
    <row r="147" spans="2:13" x14ac:dyDescent="0.25">
      <c r="B147" s="385"/>
      <c r="C147" s="384"/>
      <c r="G147" s="385"/>
      <c r="H147" s="386"/>
      <c r="I147" s="385"/>
      <c r="J147" s="385"/>
      <c r="K147" s="385"/>
      <c r="L147" s="385"/>
      <c r="M147" s="385"/>
    </row>
    <row r="148" spans="2:13" x14ac:dyDescent="0.25">
      <c r="B148" s="385"/>
      <c r="C148" s="384"/>
      <c r="G148" s="385"/>
      <c r="H148" s="386"/>
      <c r="I148" s="385"/>
      <c r="J148" s="385"/>
      <c r="K148" s="385"/>
      <c r="L148" s="385"/>
      <c r="M148" s="385"/>
    </row>
    <row r="149" spans="2:13" x14ac:dyDescent="0.25">
      <c r="B149" s="385"/>
      <c r="C149" s="384"/>
      <c r="G149" s="385"/>
      <c r="H149" s="386"/>
      <c r="I149" s="385"/>
      <c r="J149" s="385"/>
      <c r="K149" s="385"/>
      <c r="L149" s="385"/>
      <c r="M149" s="385"/>
    </row>
    <row r="150" spans="2:13" x14ac:dyDescent="0.25">
      <c r="B150" s="385"/>
      <c r="C150" s="384"/>
      <c r="G150" s="385"/>
      <c r="H150" s="386"/>
      <c r="I150" s="385"/>
      <c r="J150" s="385"/>
      <c r="K150" s="385"/>
      <c r="L150" s="385"/>
      <c r="M150" s="385"/>
    </row>
    <row r="151" spans="2:13" x14ac:dyDescent="0.25">
      <c r="B151" s="379"/>
      <c r="C151" s="384"/>
      <c r="G151" s="385"/>
      <c r="H151" s="386"/>
      <c r="I151" s="385"/>
      <c r="J151" s="385"/>
      <c r="K151" s="385"/>
      <c r="L151" s="385"/>
      <c r="M151" s="385"/>
    </row>
    <row r="152" spans="2:13" x14ac:dyDescent="0.25">
      <c r="C152" s="384"/>
      <c r="G152" s="385"/>
      <c r="H152" s="386"/>
      <c r="I152" s="385"/>
      <c r="J152" s="385"/>
      <c r="K152" s="385"/>
      <c r="L152" s="385"/>
      <c r="M152" s="385"/>
    </row>
    <row r="153" spans="2:13" x14ac:dyDescent="0.25">
      <c r="B153" s="379"/>
      <c r="C153" s="384"/>
      <c r="G153" s="385"/>
      <c r="H153" s="386"/>
      <c r="I153" s="385"/>
      <c r="J153" s="385"/>
      <c r="K153" s="385"/>
      <c r="L153" s="385"/>
      <c r="M153" s="385"/>
    </row>
    <row r="154" spans="2:13" x14ac:dyDescent="0.25">
      <c r="C154" s="384"/>
      <c r="G154" s="385"/>
      <c r="H154" s="386"/>
      <c r="I154" s="385"/>
      <c r="J154" s="385"/>
      <c r="K154" s="385"/>
      <c r="L154" s="385"/>
      <c r="M154" s="385"/>
    </row>
    <row r="155" spans="2:13" x14ac:dyDescent="0.25">
      <c r="B155" s="385"/>
      <c r="C155" s="384"/>
      <c r="G155" s="385"/>
      <c r="H155" s="386"/>
      <c r="I155" s="385"/>
      <c r="J155" s="385"/>
      <c r="K155" s="385"/>
      <c r="L155" s="385"/>
      <c r="M155" s="385"/>
    </row>
    <row r="156" spans="2:13" x14ac:dyDescent="0.25">
      <c r="B156" s="385"/>
      <c r="C156" s="384"/>
      <c r="G156" s="385"/>
      <c r="H156" s="386"/>
      <c r="I156" s="385"/>
      <c r="J156" s="385"/>
      <c r="K156" s="385"/>
      <c r="L156" s="385"/>
      <c r="M156" s="385"/>
    </row>
    <row r="157" spans="2:13" x14ac:dyDescent="0.25">
      <c r="B157" s="385"/>
      <c r="C157" s="384"/>
      <c r="G157" s="385"/>
      <c r="H157" s="386"/>
      <c r="I157" s="385"/>
      <c r="J157" s="385"/>
      <c r="K157" s="385"/>
      <c r="L157" s="385"/>
      <c r="M157" s="385"/>
    </row>
    <row r="158" spans="2:13" x14ac:dyDescent="0.25">
      <c r="B158" s="379"/>
      <c r="C158" s="384"/>
      <c r="G158" s="385"/>
      <c r="H158" s="386"/>
      <c r="I158" s="385"/>
      <c r="J158" s="385"/>
      <c r="K158" s="385"/>
      <c r="L158" s="385"/>
      <c r="M158" s="385"/>
    </row>
    <row r="159" spans="2:13" x14ac:dyDescent="0.25">
      <c r="C159" s="384"/>
      <c r="G159" s="385"/>
      <c r="H159" s="386"/>
      <c r="I159" s="385"/>
      <c r="J159" s="385"/>
      <c r="K159" s="385"/>
      <c r="L159" s="385"/>
      <c r="M159" s="385"/>
    </row>
    <row r="160" spans="2:13" x14ac:dyDescent="0.25">
      <c r="B160" s="385"/>
      <c r="C160" s="384"/>
      <c r="G160" s="385"/>
      <c r="H160" s="386"/>
      <c r="I160" s="385"/>
      <c r="J160" s="385"/>
      <c r="K160" s="385"/>
      <c r="L160" s="385"/>
      <c r="M160" s="385"/>
    </row>
    <row r="161" spans="1:13" x14ac:dyDescent="0.25">
      <c r="B161" s="385"/>
      <c r="C161" s="384"/>
      <c r="G161" s="385"/>
      <c r="H161" s="386"/>
      <c r="I161" s="385"/>
      <c r="J161" s="385"/>
      <c r="K161" s="385"/>
      <c r="L161" s="385"/>
      <c r="M161" s="385"/>
    </row>
    <row r="162" spans="1:13" x14ac:dyDescent="0.25">
      <c r="B162" s="379"/>
      <c r="C162" s="384"/>
      <c r="G162" s="385"/>
      <c r="H162" s="386"/>
      <c r="I162" s="385"/>
      <c r="J162" s="385"/>
      <c r="K162" s="385"/>
      <c r="L162" s="385"/>
      <c r="M162" s="385"/>
    </row>
    <row r="163" spans="1:13" x14ac:dyDescent="0.25">
      <c r="C163" s="384"/>
      <c r="G163" s="385"/>
      <c r="H163" s="386"/>
      <c r="I163" s="385"/>
      <c r="J163" s="385"/>
      <c r="K163" s="385"/>
      <c r="L163" s="385"/>
      <c r="M163" s="385"/>
    </row>
    <row r="164" spans="1:13" x14ac:dyDescent="0.25">
      <c r="B164" s="570"/>
      <c r="C164" s="390"/>
      <c r="G164" s="385"/>
      <c r="H164" s="386"/>
      <c r="I164" s="385"/>
      <c r="J164" s="385"/>
      <c r="K164" s="385"/>
      <c r="L164" s="385"/>
      <c r="M164" s="385"/>
    </row>
    <row r="165" spans="1:13" x14ac:dyDescent="0.25">
      <c r="B165" s="379"/>
      <c r="C165" s="384"/>
      <c r="G165" s="385"/>
      <c r="H165" s="386"/>
      <c r="I165" s="385"/>
      <c r="J165" s="385"/>
      <c r="K165" s="385"/>
      <c r="L165" s="385"/>
      <c r="M165" s="385"/>
    </row>
    <row r="166" spans="1:13" x14ac:dyDescent="0.25">
      <c r="B166" s="379"/>
      <c r="C166" s="384"/>
      <c r="G166" s="385"/>
      <c r="H166" s="386"/>
      <c r="I166" s="385"/>
      <c r="J166" s="385"/>
      <c r="K166" s="385"/>
      <c r="L166" s="385"/>
      <c r="M166" s="385"/>
    </row>
    <row r="167" spans="1:13" x14ac:dyDescent="0.25">
      <c r="C167" s="384"/>
      <c r="G167" s="385"/>
      <c r="H167" s="386"/>
      <c r="I167" s="391"/>
      <c r="J167" s="385"/>
      <c r="K167" s="385"/>
      <c r="L167" s="385"/>
      <c r="M167" s="385"/>
    </row>
    <row r="168" spans="1:13" x14ac:dyDescent="0.25">
      <c r="G168" s="385"/>
      <c r="H168" s="386"/>
      <c r="I168" s="391"/>
      <c r="J168" s="385"/>
      <c r="K168" s="385"/>
      <c r="L168" s="385"/>
      <c r="M168" s="385"/>
    </row>
    <row r="169" spans="1:13" x14ac:dyDescent="0.25">
      <c r="C169" s="390"/>
      <c r="G169" s="391"/>
      <c r="H169" s="571"/>
      <c r="J169" s="391"/>
      <c r="K169" s="391"/>
      <c r="L169" s="391"/>
      <c r="M169" s="391"/>
    </row>
    <row r="170" spans="1:13" x14ac:dyDescent="0.25">
      <c r="C170" s="390"/>
      <c r="G170" s="391"/>
      <c r="H170" s="571"/>
      <c r="J170" s="391"/>
      <c r="K170" s="391"/>
      <c r="L170" s="391"/>
      <c r="M170" s="391"/>
    </row>
    <row r="171" spans="1:13" x14ac:dyDescent="0.25">
      <c r="I171" s="385"/>
    </row>
    <row r="172" spans="1:13" x14ac:dyDescent="0.25">
      <c r="A172" s="381"/>
      <c r="C172" s="381"/>
      <c r="D172" s="787"/>
      <c r="E172" s="382"/>
      <c r="I172" s="387"/>
    </row>
    <row r="173" spans="1:13" x14ac:dyDescent="0.25">
      <c r="B173" s="385"/>
      <c r="C173" s="384"/>
      <c r="D173" s="786"/>
      <c r="E173" s="380"/>
      <c r="G173" s="385"/>
      <c r="H173" s="386"/>
      <c r="I173" s="385"/>
      <c r="J173" s="385"/>
      <c r="K173" s="385"/>
      <c r="L173" s="385"/>
      <c r="M173" s="385"/>
    </row>
    <row r="174" spans="1:13" x14ac:dyDescent="0.25">
      <c r="B174" s="385"/>
      <c r="C174" s="384"/>
      <c r="D174" s="786"/>
      <c r="E174" s="380"/>
      <c r="F174" s="380"/>
      <c r="G174" s="387"/>
      <c r="H174" s="569"/>
      <c r="I174" s="385"/>
      <c r="J174" s="387"/>
      <c r="K174" s="387"/>
      <c r="L174" s="387"/>
      <c r="M174" s="387"/>
    </row>
    <row r="175" spans="1:13" x14ac:dyDescent="0.25">
      <c r="B175" s="385"/>
      <c r="C175" s="384"/>
      <c r="G175" s="385"/>
      <c r="H175" s="386"/>
      <c r="I175" s="385"/>
      <c r="J175" s="385"/>
      <c r="K175" s="385"/>
      <c r="L175" s="385"/>
      <c r="M175" s="385"/>
    </row>
    <row r="176" spans="1:13" x14ac:dyDescent="0.25">
      <c r="B176" s="385"/>
      <c r="C176" s="384"/>
      <c r="G176" s="385"/>
      <c r="H176" s="386"/>
      <c r="I176" s="385"/>
      <c r="J176" s="385"/>
      <c r="K176" s="385"/>
      <c r="L176" s="385"/>
      <c r="M176" s="385"/>
    </row>
    <row r="177" spans="2:13" x14ac:dyDescent="0.25">
      <c r="B177" s="385"/>
      <c r="C177" s="384"/>
      <c r="G177" s="385"/>
      <c r="H177" s="386"/>
      <c r="I177" s="385"/>
      <c r="J177" s="385"/>
      <c r="K177" s="385"/>
      <c r="L177" s="385"/>
      <c r="M177" s="385"/>
    </row>
    <row r="178" spans="2:13" x14ac:dyDescent="0.25">
      <c r="B178" s="385"/>
      <c r="C178" s="384"/>
      <c r="G178" s="385"/>
      <c r="H178" s="386"/>
      <c r="I178" s="385"/>
      <c r="J178" s="385"/>
      <c r="K178" s="385"/>
      <c r="L178" s="385"/>
      <c r="M178" s="385"/>
    </row>
    <row r="179" spans="2:13" x14ac:dyDescent="0.25">
      <c r="B179" s="570"/>
      <c r="C179" s="384"/>
      <c r="G179" s="385"/>
      <c r="H179" s="386"/>
      <c r="I179" s="385"/>
      <c r="J179" s="385"/>
      <c r="K179" s="385"/>
      <c r="L179" s="385"/>
      <c r="M179" s="385"/>
    </row>
    <row r="180" spans="2:13" x14ac:dyDescent="0.25">
      <c r="C180" s="384"/>
      <c r="G180" s="385"/>
      <c r="H180" s="386"/>
      <c r="I180" s="385"/>
      <c r="J180" s="385"/>
      <c r="K180" s="385"/>
      <c r="L180" s="385"/>
      <c r="M180" s="385"/>
    </row>
    <row r="181" spans="2:13" x14ac:dyDescent="0.25">
      <c r="B181" s="385"/>
      <c r="C181" s="384"/>
      <c r="G181" s="385"/>
      <c r="H181" s="386"/>
      <c r="I181" s="385"/>
      <c r="J181" s="385"/>
      <c r="K181" s="385"/>
      <c r="L181" s="385"/>
      <c r="M181" s="385"/>
    </row>
    <row r="182" spans="2:13" x14ac:dyDescent="0.25">
      <c r="B182" s="385"/>
      <c r="C182" s="384"/>
      <c r="G182" s="385"/>
      <c r="H182" s="386"/>
      <c r="I182" s="385"/>
      <c r="J182" s="385"/>
      <c r="K182" s="385"/>
      <c r="L182" s="385"/>
      <c r="M182" s="385"/>
    </row>
    <row r="183" spans="2:13" x14ac:dyDescent="0.25">
      <c r="B183" s="385"/>
      <c r="C183" s="384"/>
      <c r="G183" s="385"/>
      <c r="H183" s="386"/>
      <c r="I183" s="385"/>
      <c r="J183" s="385"/>
      <c r="K183" s="385"/>
      <c r="L183" s="385"/>
      <c r="M183" s="385"/>
    </row>
    <row r="184" spans="2:13" x14ac:dyDescent="0.25">
      <c r="B184" s="385"/>
      <c r="C184" s="384"/>
      <c r="G184" s="385"/>
      <c r="H184" s="386"/>
      <c r="I184" s="385"/>
      <c r="J184" s="385"/>
      <c r="K184" s="385"/>
      <c r="L184" s="385"/>
      <c r="M184" s="385"/>
    </row>
    <row r="185" spans="2:13" x14ac:dyDescent="0.25">
      <c r="C185" s="384"/>
      <c r="G185" s="385"/>
      <c r="H185" s="386"/>
      <c r="I185" s="385"/>
      <c r="J185" s="385"/>
      <c r="K185" s="385"/>
      <c r="L185" s="385"/>
      <c r="M185" s="385"/>
    </row>
    <row r="186" spans="2:13" x14ac:dyDescent="0.25">
      <c r="B186" s="385"/>
      <c r="C186" s="384"/>
      <c r="G186" s="385"/>
      <c r="H186" s="386"/>
      <c r="I186" s="385"/>
      <c r="J186" s="385"/>
      <c r="K186" s="385"/>
      <c r="L186" s="385"/>
      <c r="M186" s="385"/>
    </row>
    <row r="187" spans="2:13" x14ac:dyDescent="0.25">
      <c r="B187" s="385"/>
      <c r="C187" s="384"/>
      <c r="G187" s="385"/>
      <c r="H187" s="386"/>
      <c r="I187" s="385"/>
      <c r="J187" s="385"/>
      <c r="K187" s="385"/>
      <c r="L187" s="385"/>
      <c r="M187" s="385"/>
    </row>
    <row r="188" spans="2:13" x14ac:dyDescent="0.25">
      <c r="B188" s="385"/>
      <c r="C188" s="384"/>
      <c r="G188" s="385"/>
      <c r="H188" s="386"/>
      <c r="I188" s="385"/>
      <c r="J188" s="385"/>
      <c r="K188" s="385"/>
      <c r="L188" s="385"/>
      <c r="M188" s="385"/>
    </row>
    <row r="189" spans="2:13" x14ac:dyDescent="0.25">
      <c r="B189" s="570"/>
      <c r="C189" s="384"/>
      <c r="G189" s="385"/>
      <c r="H189" s="386"/>
      <c r="I189" s="385"/>
      <c r="J189" s="385"/>
      <c r="K189" s="385"/>
      <c r="L189" s="385"/>
      <c r="M189" s="385"/>
    </row>
    <row r="190" spans="2:13" x14ac:dyDescent="0.25">
      <c r="B190" s="385"/>
      <c r="C190" s="384"/>
      <c r="G190" s="385"/>
      <c r="H190" s="386"/>
      <c r="I190" s="385"/>
      <c r="J190" s="385"/>
      <c r="K190" s="385"/>
      <c r="L190" s="385"/>
      <c r="M190" s="385"/>
    </row>
    <row r="191" spans="2:13" x14ac:dyDescent="0.25">
      <c r="B191" s="385"/>
      <c r="C191" s="384"/>
      <c r="G191" s="385"/>
      <c r="H191" s="386"/>
      <c r="I191" s="385"/>
      <c r="J191" s="385"/>
      <c r="K191" s="385"/>
      <c r="L191" s="385"/>
      <c r="M191" s="385"/>
    </row>
    <row r="192" spans="2:13" x14ac:dyDescent="0.25">
      <c r="B192" s="385"/>
      <c r="C192" s="384"/>
      <c r="G192" s="385"/>
      <c r="H192" s="386"/>
      <c r="I192" s="385"/>
      <c r="J192" s="385"/>
      <c r="K192" s="385"/>
      <c r="L192" s="385"/>
      <c r="M192" s="385"/>
    </row>
    <row r="193" spans="2:13" x14ac:dyDescent="0.25">
      <c r="B193" s="385"/>
      <c r="C193" s="384"/>
      <c r="G193" s="385"/>
      <c r="H193" s="386"/>
      <c r="I193" s="385"/>
      <c r="J193" s="385"/>
      <c r="K193" s="385"/>
      <c r="L193" s="385"/>
      <c r="M193" s="385"/>
    </row>
    <row r="194" spans="2:13" x14ac:dyDescent="0.25">
      <c r="B194" s="385"/>
      <c r="C194" s="384"/>
      <c r="G194" s="385"/>
      <c r="H194" s="386"/>
      <c r="I194" s="385"/>
      <c r="J194" s="385"/>
      <c r="K194" s="385"/>
      <c r="L194" s="385"/>
      <c r="M194" s="385"/>
    </row>
    <row r="195" spans="2:13" x14ac:dyDescent="0.25">
      <c r="B195" s="385"/>
      <c r="C195" s="384"/>
      <c r="G195" s="385"/>
      <c r="H195" s="386"/>
      <c r="I195" s="385"/>
      <c r="J195" s="385"/>
      <c r="K195" s="385"/>
      <c r="L195" s="385"/>
      <c r="M195" s="385"/>
    </row>
    <row r="196" spans="2:13" x14ac:dyDescent="0.25">
      <c r="B196" s="385"/>
      <c r="C196" s="384"/>
      <c r="G196" s="385"/>
      <c r="H196" s="386"/>
      <c r="I196" s="385"/>
      <c r="J196" s="385"/>
      <c r="K196" s="385"/>
      <c r="L196" s="385"/>
      <c r="M196" s="385"/>
    </row>
    <row r="197" spans="2:13" x14ac:dyDescent="0.25">
      <c r="B197" s="385"/>
      <c r="C197" s="384"/>
      <c r="G197" s="385"/>
      <c r="H197" s="386"/>
      <c r="I197" s="385"/>
      <c r="J197" s="385"/>
      <c r="K197" s="385"/>
      <c r="L197" s="385"/>
      <c r="M197" s="385"/>
    </row>
    <row r="198" spans="2:13" x14ac:dyDescent="0.25">
      <c r="B198" s="379"/>
      <c r="C198" s="384"/>
      <c r="G198" s="385"/>
      <c r="H198" s="386"/>
      <c r="I198" s="385"/>
      <c r="J198" s="385"/>
      <c r="K198" s="385"/>
      <c r="L198" s="385"/>
      <c r="M198" s="385"/>
    </row>
    <row r="199" spans="2:13" x14ac:dyDescent="0.25">
      <c r="C199" s="384"/>
      <c r="G199" s="385"/>
      <c r="H199" s="386"/>
      <c r="I199" s="385"/>
      <c r="J199" s="385"/>
      <c r="K199" s="385"/>
      <c r="L199" s="385"/>
      <c r="M199" s="385"/>
    </row>
    <row r="200" spans="2:13" x14ac:dyDescent="0.25">
      <c r="B200" s="379"/>
      <c r="C200" s="384"/>
      <c r="G200" s="385"/>
      <c r="H200" s="386"/>
      <c r="I200" s="385"/>
      <c r="J200" s="385"/>
      <c r="K200" s="385"/>
      <c r="L200" s="385"/>
      <c r="M200" s="385"/>
    </row>
    <row r="201" spans="2:13" x14ac:dyDescent="0.25">
      <c r="C201" s="384"/>
      <c r="G201" s="385"/>
      <c r="H201" s="386"/>
      <c r="I201" s="385"/>
      <c r="J201" s="385"/>
      <c r="K201" s="385"/>
      <c r="L201" s="385"/>
      <c r="M201" s="385"/>
    </row>
    <row r="202" spans="2:13" x14ac:dyDescent="0.25">
      <c r="B202" s="385"/>
      <c r="C202" s="384"/>
      <c r="G202" s="385"/>
      <c r="H202" s="386"/>
      <c r="I202" s="385"/>
      <c r="J202" s="385"/>
      <c r="K202" s="385"/>
      <c r="L202" s="385"/>
      <c r="M202" s="385"/>
    </row>
    <row r="203" spans="2:13" x14ac:dyDescent="0.25">
      <c r="B203" s="385"/>
      <c r="C203" s="384"/>
      <c r="G203" s="385"/>
      <c r="H203" s="386"/>
      <c r="I203" s="385"/>
      <c r="J203" s="385"/>
      <c r="K203" s="385"/>
      <c r="L203" s="385"/>
      <c r="M203" s="385"/>
    </row>
    <row r="204" spans="2:13" x14ac:dyDescent="0.25">
      <c r="B204" s="385"/>
      <c r="C204" s="384"/>
      <c r="G204" s="385"/>
      <c r="H204" s="386"/>
      <c r="I204" s="385"/>
      <c r="J204" s="385"/>
      <c r="K204" s="385"/>
      <c r="L204" s="385"/>
      <c r="M204" s="385"/>
    </row>
    <row r="205" spans="2:13" x14ac:dyDescent="0.25">
      <c r="B205" s="379"/>
      <c r="C205" s="384"/>
      <c r="G205" s="385"/>
      <c r="H205" s="386"/>
      <c r="I205" s="385"/>
      <c r="J205" s="385"/>
      <c r="K205" s="385"/>
      <c r="L205" s="385"/>
      <c r="M205" s="385"/>
    </row>
    <row r="206" spans="2:13" x14ac:dyDescent="0.25">
      <c r="C206" s="384"/>
      <c r="G206" s="385"/>
      <c r="H206" s="386"/>
      <c r="I206" s="385"/>
      <c r="J206" s="385"/>
      <c r="K206" s="385"/>
      <c r="L206" s="385"/>
      <c r="M206" s="385"/>
    </row>
    <row r="207" spans="2:13" x14ac:dyDescent="0.25">
      <c r="B207" s="385"/>
      <c r="C207" s="384"/>
      <c r="G207" s="385"/>
      <c r="H207" s="386"/>
      <c r="I207" s="385"/>
      <c r="J207" s="385"/>
      <c r="K207" s="385"/>
      <c r="L207" s="385"/>
      <c r="M207" s="385"/>
    </row>
    <row r="208" spans="2:13" x14ac:dyDescent="0.25">
      <c r="B208" s="385"/>
      <c r="C208" s="384"/>
      <c r="G208" s="385"/>
      <c r="H208" s="386"/>
      <c r="I208" s="385"/>
      <c r="J208" s="385"/>
      <c r="K208" s="385"/>
      <c r="L208" s="385"/>
      <c r="M208" s="385"/>
    </row>
    <row r="209" spans="1:13" x14ac:dyDescent="0.25">
      <c r="B209" s="379"/>
      <c r="C209" s="384"/>
      <c r="G209" s="385"/>
      <c r="H209" s="386"/>
      <c r="I209" s="385"/>
      <c r="J209" s="385"/>
      <c r="K209" s="385"/>
      <c r="L209" s="385"/>
      <c r="M209" s="385"/>
    </row>
    <row r="210" spans="1:13" x14ac:dyDescent="0.25">
      <c r="C210" s="384"/>
      <c r="G210" s="385"/>
      <c r="H210" s="386"/>
      <c r="I210" s="385"/>
      <c r="J210" s="385"/>
      <c r="K210" s="385"/>
      <c r="L210" s="385"/>
      <c r="M210" s="385"/>
    </row>
    <row r="211" spans="1:13" x14ac:dyDescent="0.25">
      <c r="B211" s="570"/>
      <c r="C211" s="390"/>
      <c r="G211" s="385"/>
      <c r="H211" s="386"/>
      <c r="I211" s="385"/>
      <c r="J211" s="385"/>
      <c r="K211" s="385"/>
      <c r="L211" s="385"/>
      <c r="M211" s="385"/>
    </row>
    <row r="212" spans="1:13" x14ac:dyDescent="0.25">
      <c r="B212" s="379"/>
      <c r="C212" s="384"/>
      <c r="G212" s="385"/>
      <c r="H212" s="386"/>
      <c r="I212" s="385"/>
      <c r="J212" s="385"/>
      <c r="K212" s="385"/>
      <c r="L212" s="385"/>
      <c r="M212" s="385"/>
    </row>
    <row r="213" spans="1:13" x14ac:dyDescent="0.25">
      <c r="B213" s="379"/>
      <c r="C213" s="384"/>
      <c r="G213" s="385"/>
      <c r="H213" s="386"/>
      <c r="I213" s="385"/>
      <c r="J213" s="385"/>
      <c r="K213" s="385"/>
      <c r="L213" s="385"/>
      <c r="M213" s="385"/>
    </row>
    <row r="214" spans="1:13" x14ac:dyDescent="0.25">
      <c r="C214" s="390"/>
      <c r="G214" s="385"/>
      <c r="H214" s="386"/>
      <c r="J214" s="385"/>
      <c r="K214" s="385"/>
      <c r="L214" s="385"/>
      <c r="M214" s="385"/>
    </row>
    <row r="215" spans="1:13" x14ac:dyDescent="0.25">
      <c r="G215" s="385"/>
      <c r="H215" s="386"/>
      <c r="J215" s="385"/>
      <c r="K215" s="385"/>
      <c r="L215" s="385"/>
      <c r="M215" s="385"/>
    </row>
    <row r="216" spans="1:13" x14ac:dyDescent="0.25">
      <c r="K216" s="391"/>
      <c r="L216" s="391"/>
      <c r="M216" s="391"/>
    </row>
    <row r="217" spans="1:13" x14ac:dyDescent="0.25">
      <c r="I217" s="385"/>
    </row>
    <row r="218" spans="1:13" x14ac:dyDescent="0.25">
      <c r="A218" s="381"/>
      <c r="C218" s="381"/>
      <c r="D218" s="787"/>
      <c r="E218" s="382"/>
      <c r="I218" s="387"/>
    </row>
    <row r="219" spans="1:13" x14ac:dyDescent="0.25">
      <c r="B219" s="385"/>
      <c r="C219" s="384"/>
      <c r="D219" s="786"/>
      <c r="E219" s="380"/>
      <c r="G219" s="385"/>
      <c r="H219" s="386"/>
      <c r="I219" s="385"/>
      <c r="J219" s="385"/>
      <c r="K219" s="385"/>
      <c r="L219" s="385"/>
      <c r="M219" s="385"/>
    </row>
    <row r="220" spans="1:13" x14ac:dyDescent="0.25">
      <c r="B220" s="385"/>
      <c r="C220" s="384"/>
      <c r="D220" s="786"/>
      <c r="E220" s="380"/>
      <c r="F220" s="380"/>
      <c r="G220" s="387"/>
      <c r="H220" s="569"/>
      <c r="I220" s="385"/>
      <c r="J220" s="387"/>
      <c r="K220" s="387"/>
      <c r="L220" s="387"/>
      <c r="M220" s="387"/>
    </row>
    <row r="221" spans="1:13" x14ac:dyDescent="0.25">
      <c r="B221" s="385"/>
      <c r="C221" s="384"/>
      <c r="G221" s="385"/>
      <c r="H221" s="386"/>
      <c r="I221" s="385"/>
      <c r="J221" s="385"/>
      <c r="K221" s="385"/>
      <c r="L221" s="385"/>
      <c r="M221" s="385"/>
    </row>
    <row r="222" spans="1:13" x14ac:dyDescent="0.25">
      <c r="B222" s="385"/>
      <c r="C222" s="384"/>
      <c r="G222" s="385"/>
      <c r="H222" s="386"/>
      <c r="I222" s="385"/>
      <c r="J222" s="385"/>
      <c r="K222" s="385"/>
      <c r="L222" s="385"/>
      <c r="M222" s="385"/>
    </row>
    <row r="223" spans="1:13" x14ac:dyDescent="0.25">
      <c r="B223" s="385"/>
      <c r="C223" s="384"/>
      <c r="G223" s="385"/>
      <c r="H223" s="386"/>
      <c r="I223" s="385"/>
      <c r="J223" s="385"/>
      <c r="K223" s="385"/>
      <c r="L223" s="385"/>
      <c r="M223" s="385"/>
    </row>
    <row r="224" spans="1:13" x14ac:dyDescent="0.25">
      <c r="B224" s="385"/>
      <c r="C224" s="384"/>
      <c r="G224" s="385"/>
      <c r="H224" s="386"/>
      <c r="I224" s="385"/>
      <c r="J224" s="385"/>
      <c r="K224" s="385"/>
      <c r="L224" s="385"/>
      <c r="M224" s="385"/>
    </row>
    <row r="225" spans="2:13" x14ac:dyDescent="0.25">
      <c r="B225" s="570"/>
      <c r="C225" s="384"/>
      <c r="G225" s="385"/>
      <c r="H225" s="386"/>
      <c r="I225" s="385"/>
      <c r="J225" s="385"/>
      <c r="K225" s="385"/>
      <c r="L225" s="385"/>
      <c r="M225" s="385"/>
    </row>
    <row r="226" spans="2:13" x14ac:dyDescent="0.25">
      <c r="C226" s="384"/>
      <c r="G226" s="385"/>
      <c r="H226" s="386"/>
      <c r="I226" s="385"/>
      <c r="J226" s="385"/>
      <c r="K226" s="385"/>
      <c r="L226" s="385"/>
      <c r="M226" s="385"/>
    </row>
    <row r="227" spans="2:13" x14ac:dyDescent="0.25">
      <c r="B227" s="385"/>
      <c r="C227" s="384"/>
      <c r="G227" s="385"/>
      <c r="H227" s="386"/>
      <c r="I227" s="385"/>
      <c r="J227" s="385"/>
      <c r="K227" s="385"/>
      <c r="L227" s="385"/>
      <c r="M227" s="385"/>
    </row>
    <row r="228" spans="2:13" x14ac:dyDescent="0.25">
      <c r="B228" s="385"/>
      <c r="C228" s="384"/>
      <c r="G228" s="385"/>
      <c r="H228" s="386"/>
      <c r="I228" s="385"/>
      <c r="J228" s="385"/>
      <c r="K228" s="385"/>
      <c r="L228" s="385"/>
      <c r="M228" s="385"/>
    </row>
    <row r="229" spans="2:13" x14ac:dyDescent="0.25">
      <c r="B229" s="385"/>
      <c r="C229" s="384"/>
      <c r="G229" s="385"/>
      <c r="H229" s="386"/>
      <c r="I229" s="385"/>
      <c r="J229" s="385"/>
      <c r="K229" s="385"/>
      <c r="L229" s="385"/>
      <c r="M229" s="385"/>
    </row>
    <row r="230" spans="2:13" x14ac:dyDescent="0.25">
      <c r="B230" s="385"/>
      <c r="C230" s="384"/>
      <c r="G230" s="385"/>
      <c r="H230" s="386"/>
      <c r="I230" s="385"/>
      <c r="J230" s="385"/>
      <c r="K230" s="385"/>
      <c r="L230" s="385"/>
      <c r="M230" s="385"/>
    </row>
    <row r="231" spans="2:13" x14ac:dyDescent="0.25">
      <c r="C231" s="384"/>
      <c r="G231" s="385"/>
      <c r="H231" s="386"/>
      <c r="I231" s="385"/>
      <c r="J231" s="385"/>
      <c r="K231" s="385"/>
      <c r="L231" s="385"/>
      <c r="M231" s="385"/>
    </row>
    <row r="232" spans="2:13" x14ac:dyDescent="0.25">
      <c r="B232" s="385"/>
      <c r="C232" s="384"/>
      <c r="G232" s="385"/>
      <c r="H232" s="386"/>
      <c r="I232" s="385"/>
      <c r="J232" s="385"/>
      <c r="K232" s="385"/>
      <c r="L232" s="385"/>
      <c r="M232" s="385"/>
    </row>
    <row r="233" spans="2:13" x14ac:dyDescent="0.25">
      <c r="B233" s="385"/>
      <c r="C233" s="384"/>
      <c r="G233" s="385"/>
      <c r="H233" s="386"/>
      <c r="I233" s="385"/>
      <c r="J233" s="385"/>
      <c r="K233" s="385"/>
      <c r="L233" s="385"/>
      <c r="M233" s="385"/>
    </row>
    <row r="234" spans="2:13" x14ac:dyDescent="0.25">
      <c r="B234" s="385"/>
      <c r="C234" s="384"/>
      <c r="G234" s="385"/>
      <c r="H234" s="386"/>
      <c r="I234" s="385"/>
      <c r="J234" s="385"/>
      <c r="K234" s="385"/>
      <c r="L234" s="385"/>
      <c r="M234" s="385"/>
    </row>
    <row r="235" spans="2:13" x14ac:dyDescent="0.25">
      <c r="B235" s="570"/>
      <c r="C235" s="384"/>
      <c r="G235" s="385"/>
      <c r="H235" s="386"/>
      <c r="I235" s="385"/>
      <c r="J235" s="385"/>
      <c r="K235" s="385"/>
      <c r="L235" s="385"/>
      <c r="M235" s="385"/>
    </row>
    <row r="236" spans="2:13" x14ac:dyDescent="0.25">
      <c r="B236" s="385"/>
      <c r="C236" s="384"/>
      <c r="G236" s="385"/>
      <c r="H236" s="386"/>
      <c r="I236" s="385"/>
      <c r="J236" s="385"/>
      <c r="K236" s="385"/>
      <c r="L236" s="385"/>
      <c r="M236" s="385"/>
    </row>
    <row r="237" spans="2:13" x14ac:dyDescent="0.25">
      <c r="B237" s="385"/>
      <c r="C237" s="384"/>
      <c r="G237" s="385"/>
      <c r="H237" s="386"/>
      <c r="I237" s="385"/>
      <c r="J237" s="385"/>
      <c r="K237" s="385"/>
      <c r="L237" s="385"/>
      <c r="M237" s="385"/>
    </row>
    <row r="238" spans="2:13" x14ac:dyDescent="0.25">
      <c r="B238" s="385"/>
      <c r="C238" s="384"/>
      <c r="G238" s="385"/>
      <c r="H238" s="386"/>
      <c r="I238" s="385"/>
      <c r="J238" s="385"/>
      <c r="K238" s="385"/>
      <c r="L238" s="385"/>
      <c r="M238" s="385"/>
    </row>
    <row r="239" spans="2:13" x14ac:dyDescent="0.25">
      <c r="B239" s="385"/>
      <c r="C239" s="384"/>
      <c r="G239" s="385"/>
      <c r="H239" s="386"/>
      <c r="I239" s="385"/>
      <c r="J239" s="385"/>
      <c r="K239" s="385"/>
      <c r="L239" s="385"/>
      <c r="M239" s="385"/>
    </row>
    <row r="240" spans="2:13" x14ac:dyDescent="0.25">
      <c r="B240" s="385"/>
      <c r="C240" s="384"/>
      <c r="G240" s="385"/>
      <c r="H240" s="386"/>
      <c r="I240" s="385"/>
      <c r="J240" s="385"/>
      <c r="K240" s="385"/>
      <c r="L240" s="385"/>
      <c r="M240" s="385"/>
    </row>
    <row r="241" spans="2:13" x14ac:dyDescent="0.25">
      <c r="B241" s="385"/>
      <c r="C241" s="384"/>
      <c r="G241" s="385"/>
      <c r="H241" s="386"/>
      <c r="I241" s="385"/>
      <c r="J241" s="385"/>
      <c r="K241" s="385"/>
      <c r="L241" s="385"/>
      <c r="M241" s="385"/>
    </row>
    <row r="242" spans="2:13" x14ac:dyDescent="0.25">
      <c r="B242" s="385"/>
      <c r="C242" s="384"/>
      <c r="G242" s="385"/>
      <c r="H242" s="386"/>
      <c r="I242" s="385"/>
      <c r="J242" s="385"/>
      <c r="K242" s="385"/>
      <c r="L242" s="385"/>
      <c r="M242" s="385"/>
    </row>
    <row r="243" spans="2:13" x14ac:dyDescent="0.25">
      <c r="B243" s="385"/>
      <c r="C243" s="384"/>
      <c r="G243" s="385"/>
      <c r="H243" s="386"/>
      <c r="I243" s="385"/>
      <c r="J243" s="385"/>
      <c r="K243" s="385"/>
      <c r="L243" s="385"/>
      <c r="M243" s="385"/>
    </row>
    <row r="244" spans="2:13" x14ac:dyDescent="0.25">
      <c r="B244" s="379"/>
      <c r="C244" s="384"/>
      <c r="G244" s="385"/>
      <c r="H244" s="386"/>
      <c r="I244" s="385"/>
      <c r="J244" s="385"/>
      <c r="K244" s="385"/>
      <c r="L244" s="385"/>
      <c r="M244" s="385"/>
    </row>
    <row r="245" spans="2:13" x14ac:dyDescent="0.25">
      <c r="C245" s="384"/>
      <c r="G245" s="385"/>
      <c r="H245" s="386"/>
      <c r="I245" s="385"/>
      <c r="J245" s="385"/>
      <c r="K245" s="385"/>
      <c r="L245" s="385"/>
      <c r="M245" s="385"/>
    </row>
    <row r="246" spans="2:13" x14ac:dyDescent="0.25">
      <c r="B246" s="379"/>
      <c r="C246" s="384"/>
      <c r="G246" s="385"/>
      <c r="H246" s="386"/>
      <c r="I246" s="385"/>
      <c r="J246" s="385"/>
      <c r="K246" s="385"/>
      <c r="L246" s="385"/>
      <c r="M246" s="385"/>
    </row>
    <row r="247" spans="2:13" x14ac:dyDescent="0.25">
      <c r="C247" s="384"/>
      <c r="G247" s="385"/>
      <c r="H247" s="386"/>
      <c r="I247" s="385"/>
      <c r="J247" s="385"/>
      <c r="K247" s="385"/>
      <c r="L247" s="385"/>
      <c r="M247" s="385"/>
    </row>
    <row r="248" spans="2:13" x14ac:dyDescent="0.25">
      <c r="B248" s="385"/>
      <c r="C248" s="384"/>
      <c r="G248" s="385"/>
      <c r="H248" s="386"/>
      <c r="I248" s="385"/>
      <c r="J248" s="385"/>
      <c r="K248" s="385"/>
      <c r="L248" s="385"/>
      <c r="M248" s="385"/>
    </row>
    <row r="249" spans="2:13" x14ac:dyDescent="0.25">
      <c r="B249" s="385"/>
      <c r="C249" s="384"/>
      <c r="G249" s="385"/>
      <c r="H249" s="386"/>
      <c r="I249" s="385"/>
      <c r="J249" s="385"/>
      <c r="K249" s="385"/>
      <c r="L249" s="385"/>
      <c r="M249" s="385"/>
    </row>
    <row r="250" spans="2:13" x14ac:dyDescent="0.25">
      <c r="B250" s="385"/>
      <c r="C250" s="384"/>
      <c r="G250" s="385"/>
      <c r="H250" s="386"/>
      <c r="I250" s="385"/>
      <c r="J250" s="385"/>
      <c r="K250" s="385"/>
      <c r="L250" s="385"/>
      <c r="M250" s="385"/>
    </row>
    <row r="251" spans="2:13" x14ac:dyDescent="0.25">
      <c r="B251" s="379"/>
      <c r="C251" s="384"/>
      <c r="G251" s="385"/>
      <c r="H251" s="386"/>
      <c r="I251" s="385"/>
      <c r="J251" s="385"/>
      <c r="K251" s="385"/>
      <c r="L251" s="385"/>
      <c r="M251" s="385"/>
    </row>
    <row r="252" spans="2:13" x14ac:dyDescent="0.25">
      <c r="C252" s="384"/>
      <c r="G252" s="385"/>
      <c r="H252" s="386"/>
      <c r="I252" s="385"/>
      <c r="J252" s="385"/>
      <c r="K252" s="385"/>
      <c r="L252" s="385"/>
      <c r="M252" s="385"/>
    </row>
    <row r="253" spans="2:13" x14ac:dyDescent="0.25">
      <c r="B253" s="385"/>
      <c r="C253" s="384"/>
      <c r="G253" s="385"/>
      <c r="H253" s="386"/>
      <c r="I253" s="385"/>
      <c r="J253" s="385"/>
      <c r="K253" s="385"/>
      <c r="L253" s="385"/>
      <c r="M253" s="385"/>
    </row>
    <row r="254" spans="2:13" x14ac:dyDescent="0.25">
      <c r="B254" s="385"/>
      <c r="C254" s="384"/>
      <c r="G254" s="385"/>
      <c r="H254" s="386"/>
      <c r="I254" s="385"/>
      <c r="J254" s="385"/>
      <c r="K254" s="385"/>
      <c r="L254" s="385"/>
      <c r="M254" s="385"/>
    </row>
    <row r="255" spans="2:13" x14ac:dyDescent="0.25">
      <c r="B255" s="379"/>
      <c r="C255" s="384"/>
      <c r="G255" s="385"/>
      <c r="H255" s="386"/>
      <c r="I255" s="385"/>
      <c r="J255" s="385"/>
      <c r="K255" s="385"/>
      <c r="L255" s="385"/>
      <c r="M255" s="385"/>
    </row>
    <row r="256" spans="2:13" x14ac:dyDescent="0.25">
      <c r="C256" s="384"/>
      <c r="G256" s="385"/>
      <c r="H256" s="386"/>
      <c r="I256" s="385"/>
      <c r="J256" s="385"/>
      <c r="K256" s="385"/>
      <c r="L256" s="385"/>
      <c r="M256" s="385"/>
    </row>
    <row r="257" spans="1:13" x14ac:dyDescent="0.25">
      <c r="B257" s="570"/>
      <c r="C257" s="390"/>
      <c r="G257" s="385"/>
      <c r="H257" s="386"/>
      <c r="I257" s="385"/>
      <c r="J257" s="385"/>
      <c r="K257" s="385"/>
      <c r="L257" s="385"/>
      <c r="M257" s="385"/>
    </row>
    <row r="258" spans="1:13" x14ac:dyDescent="0.25">
      <c r="B258" s="379"/>
      <c r="C258" s="384"/>
      <c r="G258" s="385"/>
      <c r="H258" s="386"/>
      <c r="I258" s="385"/>
      <c r="J258" s="385"/>
      <c r="K258" s="385"/>
      <c r="L258" s="385"/>
      <c r="M258" s="385"/>
    </row>
    <row r="259" spans="1:13" x14ac:dyDescent="0.25">
      <c r="B259" s="379"/>
      <c r="C259" s="384"/>
      <c r="G259" s="385"/>
      <c r="H259" s="386"/>
      <c r="I259" s="385"/>
      <c r="J259" s="385"/>
      <c r="K259" s="385"/>
      <c r="L259" s="385"/>
      <c r="M259" s="385"/>
    </row>
    <row r="260" spans="1:13" x14ac:dyDescent="0.25">
      <c r="C260" s="390"/>
      <c r="G260" s="385"/>
      <c r="H260" s="386"/>
      <c r="J260" s="385"/>
      <c r="K260" s="385"/>
      <c r="L260" s="385"/>
      <c r="M260" s="385"/>
    </row>
    <row r="261" spans="1:13" x14ac:dyDescent="0.25">
      <c r="G261" s="385"/>
      <c r="H261" s="386"/>
      <c r="J261" s="385"/>
      <c r="K261" s="385"/>
      <c r="L261" s="385"/>
      <c r="M261" s="385"/>
    </row>
    <row r="262" spans="1:13" x14ac:dyDescent="0.25">
      <c r="K262" s="391"/>
      <c r="L262" s="391"/>
      <c r="M262" s="391"/>
    </row>
    <row r="264" spans="1:13" x14ac:dyDescent="0.25">
      <c r="I264" s="385"/>
    </row>
    <row r="265" spans="1:13" x14ac:dyDescent="0.25">
      <c r="A265" s="381"/>
      <c r="C265" s="381"/>
      <c r="D265" s="787"/>
      <c r="E265" s="382"/>
      <c r="I265" s="387"/>
    </row>
    <row r="266" spans="1:13" x14ac:dyDescent="0.25">
      <c r="B266" s="385"/>
      <c r="C266" s="384"/>
      <c r="D266" s="786"/>
      <c r="E266" s="380"/>
      <c r="G266" s="385"/>
      <c r="H266" s="386"/>
      <c r="I266" s="385"/>
      <c r="J266" s="385"/>
      <c r="K266" s="385"/>
      <c r="L266" s="385"/>
      <c r="M266" s="385"/>
    </row>
    <row r="267" spans="1:13" x14ac:dyDescent="0.25">
      <c r="B267" s="385"/>
      <c r="C267" s="384"/>
      <c r="D267" s="786"/>
      <c r="E267" s="380"/>
      <c r="F267" s="380"/>
      <c r="G267" s="387"/>
      <c r="H267" s="569"/>
      <c r="I267" s="385"/>
      <c r="J267" s="387"/>
      <c r="K267" s="387"/>
      <c r="L267" s="387"/>
      <c r="M267" s="387"/>
    </row>
    <row r="268" spans="1:13" x14ac:dyDescent="0.25">
      <c r="B268" s="385"/>
      <c r="C268" s="384"/>
      <c r="G268" s="385"/>
      <c r="H268" s="386"/>
      <c r="I268" s="385"/>
      <c r="J268" s="385"/>
      <c r="K268" s="385"/>
      <c r="L268" s="385"/>
      <c r="M268" s="385"/>
    </row>
    <row r="269" spans="1:13" x14ac:dyDescent="0.25">
      <c r="B269" s="385"/>
      <c r="C269" s="384"/>
      <c r="G269" s="385"/>
      <c r="H269" s="386"/>
      <c r="I269" s="385"/>
      <c r="J269" s="385"/>
      <c r="K269" s="385"/>
      <c r="L269" s="385"/>
      <c r="M269" s="385"/>
    </row>
    <row r="270" spans="1:13" x14ac:dyDescent="0.25">
      <c r="B270" s="385"/>
      <c r="C270" s="384"/>
      <c r="G270" s="385"/>
      <c r="H270" s="386"/>
      <c r="I270" s="385"/>
      <c r="J270" s="385"/>
      <c r="K270" s="385"/>
      <c r="L270" s="385"/>
      <c r="M270" s="385"/>
    </row>
    <row r="271" spans="1:13" x14ac:dyDescent="0.25">
      <c r="B271" s="385"/>
      <c r="C271" s="384"/>
      <c r="G271" s="385"/>
      <c r="H271" s="386"/>
      <c r="I271" s="385"/>
      <c r="J271" s="385"/>
      <c r="K271" s="385"/>
      <c r="L271" s="385"/>
      <c r="M271" s="385"/>
    </row>
    <row r="272" spans="1:13" x14ac:dyDescent="0.25">
      <c r="B272" s="570"/>
      <c r="C272" s="384"/>
      <c r="G272" s="385"/>
      <c r="H272" s="386"/>
      <c r="I272" s="385"/>
      <c r="J272" s="385"/>
      <c r="K272" s="385"/>
      <c r="L272" s="385"/>
      <c r="M272" s="385"/>
    </row>
    <row r="273" spans="2:13" x14ac:dyDescent="0.25">
      <c r="C273" s="384"/>
      <c r="G273" s="385"/>
      <c r="H273" s="386"/>
      <c r="I273" s="385"/>
      <c r="J273" s="385"/>
      <c r="K273" s="385"/>
      <c r="L273" s="385"/>
      <c r="M273" s="385"/>
    </row>
    <row r="274" spans="2:13" x14ac:dyDescent="0.25">
      <c r="B274" s="385"/>
      <c r="C274" s="384"/>
      <c r="G274" s="385"/>
      <c r="H274" s="386"/>
      <c r="I274" s="385"/>
      <c r="J274" s="385"/>
      <c r="K274" s="385"/>
      <c r="L274" s="385"/>
      <c r="M274" s="385"/>
    </row>
    <row r="275" spans="2:13" x14ac:dyDescent="0.25">
      <c r="B275" s="385"/>
      <c r="C275" s="384"/>
      <c r="G275" s="385"/>
      <c r="H275" s="386"/>
      <c r="I275" s="385"/>
      <c r="J275" s="385"/>
      <c r="K275" s="385"/>
      <c r="L275" s="385"/>
      <c r="M275" s="385"/>
    </row>
    <row r="276" spans="2:13" x14ac:dyDescent="0.25">
      <c r="B276" s="385"/>
      <c r="C276" s="384"/>
      <c r="G276" s="385"/>
      <c r="H276" s="386"/>
      <c r="I276" s="385"/>
      <c r="J276" s="385"/>
      <c r="K276" s="385"/>
      <c r="L276" s="385"/>
      <c r="M276" s="385"/>
    </row>
    <row r="277" spans="2:13" x14ac:dyDescent="0.25">
      <c r="B277" s="385"/>
      <c r="C277" s="384"/>
      <c r="G277" s="385"/>
      <c r="H277" s="386"/>
      <c r="I277" s="385"/>
      <c r="J277" s="385"/>
      <c r="K277" s="385"/>
      <c r="L277" s="385"/>
      <c r="M277" s="385"/>
    </row>
    <row r="278" spans="2:13" x14ac:dyDescent="0.25">
      <c r="C278" s="384"/>
      <c r="G278" s="385"/>
      <c r="H278" s="386"/>
      <c r="I278" s="385"/>
      <c r="J278" s="385"/>
      <c r="K278" s="385"/>
      <c r="L278" s="385"/>
      <c r="M278" s="385"/>
    </row>
    <row r="279" spans="2:13" x14ac:dyDescent="0.25">
      <c r="B279" s="385"/>
      <c r="C279" s="384"/>
      <c r="G279" s="385"/>
      <c r="H279" s="386"/>
      <c r="I279" s="385"/>
      <c r="J279" s="385"/>
      <c r="K279" s="385"/>
      <c r="L279" s="385"/>
      <c r="M279" s="385"/>
    </row>
    <row r="280" spans="2:13" x14ac:dyDescent="0.25">
      <c r="B280" s="385"/>
      <c r="C280" s="384"/>
      <c r="G280" s="385"/>
      <c r="H280" s="386"/>
      <c r="I280" s="385"/>
      <c r="J280" s="385"/>
      <c r="K280" s="385"/>
      <c r="L280" s="385"/>
      <c r="M280" s="385"/>
    </row>
    <row r="281" spans="2:13" x14ac:dyDescent="0.25">
      <c r="B281" s="385"/>
      <c r="C281" s="384"/>
      <c r="G281" s="385"/>
      <c r="H281" s="386"/>
      <c r="I281" s="385"/>
      <c r="J281" s="385"/>
      <c r="K281" s="385"/>
      <c r="L281" s="385"/>
      <c r="M281" s="385"/>
    </row>
    <row r="282" spans="2:13" x14ac:dyDescent="0.25">
      <c r="B282" s="570"/>
      <c r="C282" s="384"/>
      <c r="G282" s="385"/>
      <c r="H282" s="386"/>
      <c r="I282" s="385"/>
      <c r="J282" s="385"/>
      <c r="K282" s="385"/>
      <c r="L282" s="385"/>
      <c r="M282" s="385"/>
    </row>
    <row r="283" spans="2:13" x14ac:dyDescent="0.25">
      <c r="B283" s="385"/>
      <c r="C283" s="384"/>
      <c r="G283" s="385"/>
      <c r="H283" s="386"/>
      <c r="I283" s="385"/>
      <c r="J283" s="385"/>
      <c r="K283" s="385"/>
      <c r="L283" s="385"/>
      <c r="M283" s="385"/>
    </row>
    <row r="284" spans="2:13" x14ac:dyDescent="0.25">
      <c r="B284" s="385"/>
      <c r="C284" s="384"/>
      <c r="G284" s="385"/>
      <c r="H284" s="386"/>
      <c r="I284" s="385"/>
      <c r="J284" s="385"/>
      <c r="K284" s="385"/>
      <c r="L284" s="385"/>
      <c r="M284" s="385"/>
    </row>
    <row r="285" spans="2:13" x14ac:dyDescent="0.25">
      <c r="B285" s="385"/>
      <c r="C285" s="384"/>
      <c r="G285" s="385"/>
      <c r="H285" s="386"/>
      <c r="I285" s="385"/>
      <c r="J285" s="385"/>
      <c r="K285" s="385"/>
      <c r="L285" s="385"/>
      <c r="M285" s="385"/>
    </row>
    <row r="286" spans="2:13" x14ac:dyDescent="0.25">
      <c r="B286" s="385"/>
      <c r="C286" s="384"/>
      <c r="G286" s="385"/>
      <c r="H286" s="386"/>
      <c r="I286" s="385"/>
      <c r="J286" s="385"/>
      <c r="K286" s="385"/>
      <c r="L286" s="385"/>
      <c r="M286" s="385"/>
    </row>
    <row r="287" spans="2:13" x14ac:dyDescent="0.25">
      <c r="B287" s="385"/>
      <c r="C287" s="384"/>
      <c r="G287" s="385"/>
      <c r="H287" s="386"/>
      <c r="I287" s="385"/>
      <c r="J287" s="385"/>
      <c r="K287" s="385"/>
      <c r="L287" s="385"/>
      <c r="M287" s="385"/>
    </row>
    <row r="288" spans="2:13" x14ac:dyDescent="0.25">
      <c r="B288" s="385"/>
      <c r="C288" s="384"/>
      <c r="G288" s="385"/>
      <c r="H288" s="386"/>
      <c r="I288" s="385"/>
      <c r="J288" s="385"/>
      <c r="K288" s="385"/>
      <c r="L288" s="385"/>
      <c r="M288" s="385"/>
    </row>
    <row r="289" spans="2:13" x14ac:dyDescent="0.25">
      <c r="B289" s="385"/>
      <c r="C289" s="384"/>
      <c r="G289" s="385"/>
      <c r="H289" s="386"/>
      <c r="I289" s="385"/>
      <c r="J289" s="385"/>
      <c r="K289" s="385"/>
      <c r="L289" s="385"/>
      <c r="M289" s="385"/>
    </row>
    <row r="290" spans="2:13" x14ac:dyDescent="0.25">
      <c r="B290" s="385"/>
      <c r="C290" s="384"/>
      <c r="G290" s="385"/>
      <c r="H290" s="386"/>
      <c r="I290" s="385"/>
      <c r="J290" s="385"/>
      <c r="K290" s="385"/>
      <c r="L290" s="385"/>
      <c r="M290" s="385"/>
    </row>
    <row r="291" spans="2:13" x14ac:dyDescent="0.25">
      <c r="B291" s="379"/>
      <c r="C291" s="384"/>
      <c r="G291" s="385"/>
      <c r="H291" s="386"/>
      <c r="I291" s="385"/>
      <c r="J291" s="385"/>
      <c r="K291" s="385"/>
      <c r="L291" s="385"/>
      <c r="M291" s="385"/>
    </row>
    <row r="292" spans="2:13" x14ac:dyDescent="0.25">
      <c r="C292" s="384"/>
      <c r="G292" s="385"/>
      <c r="H292" s="386"/>
      <c r="I292" s="385"/>
      <c r="J292" s="385"/>
      <c r="K292" s="385"/>
      <c r="L292" s="385"/>
      <c r="M292" s="385"/>
    </row>
    <row r="293" spans="2:13" x14ac:dyDescent="0.25">
      <c r="B293" s="379"/>
      <c r="C293" s="384"/>
      <c r="G293" s="385"/>
      <c r="H293" s="386"/>
      <c r="I293" s="385"/>
      <c r="J293" s="385"/>
      <c r="K293" s="385"/>
      <c r="L293" s="385"/>
      <c r="M293" s="385"/>
    </row>
    <row r="294" spans="2:13" x14ac:dyDescent="0.25">
      <c r="C294" s="384"/>
      <c r="G294" s="385"/>
      <c r="H294" s="386"/>
      <c r="I294" s="385"/>
      <c r="J294" s="385"/>
      <c r="K294" s="385"/>
      <c r="L294" s="385"/>
      <c r="M294" s="385"/>
    </row>
    <row r="295" spans="2:13" x14ac:dyDescent="0.25">
      <c r="B295" s="385"/>
      <c r="C295" s="384"/>
      <c r="G295" s="385"/>
      <c r="H295" s="386"/>
      <c r="I295" s="385"/>
      <c r="J295" s="385"/>
      <c r="K295" s="385"/>
      <c r="L295" s="385"/>
      <c r="M295" s="385"/>
    </row>
    <row r="296" spans="2:13" x14ac:dyDescent="0.25">
      <c r="B296" s="385"/>
      <c r="C296" s="384"/>
      <c r="G296" s="385"/>
      <c r="H296" s="386"/>
      <c r="I296" s="385"/>
      <c r="J296" s="385"/>
      <c r="K296" s="385"/>
      <c r="L296" s="385"/>
      <c r="M296" s="385"/>
    </row>
    <row r="297" spans="2:13" x14ac:dyDescent="0.25">
      <c r="B297" s="385"/>
      <c r="C297" s="384"/>
      <c r="G297" s="385"/>
      <c r="H297" s="386"/>
      <c r="I297" s="385"/>
      <c r="J297" s="385"/>
      <c r="K297" s="385"/>
      <c r="L297" s="385"/>
      <c r="M297" s="385"/>
    </row>
    <row r="298" spans="2:13" x14ac:dyDescent="0.25">
      <c r="B298" s="379"/>
      <c r="C298" s="384"/>
      <c r="G298" s="385"/>
      <c r="H298" s="386"/>
      <c r="I298" s="385"/>
      <c r="J298" s="385"/>
      <c r="K298" s="385"/>
      <c r="L298" s="385"/>
      <c r="M298" s="385"/>
    </row>
    <row r="299" spans="2:13" x14ac:dyDescent="0.25">
      <c r="C299" s="384"/>
      <c r="G299" s="385"/>
      <c r="H299" s="386"/>
      <c r="I299" s="385"/>
      <c r="J299" s="385"/>
      <c r="K299" s="385"/>
      <c r="L299" s="385"/>
      <c r="M299" s="385"/>
    </row>
    <row r="300" spans="2:13" x14ac:dyDescent="0.25">
      <c r="B300" s="385"/>
      <c r="C300" s="384"/>
      <c r="G300" s="385"/>
      <c r="H300" s="386"/>
      <c r="I300" s="385"/>
      <c r="J300" s="385"/>
      <c r="K300" s="385"/>
      <c r="L300" s="385"/>
      <c r="M300" s="385"/>
    </row>
    <row r="301" spans="2:13" x14ac:dyDescent="0.25">
      <c r="B301" s="385"/>
      <c r="C301" s="384"/>
      <c r="G301" s="385"/>
      <c r="H301" s="386"/>
      <c r="I301" s="385"/>
      <c r="J301" s="385"/>
      <c r="K301" s="385"/>
      <c r="L301" s="385"/>
      <c r="M301" s="385"/>
    </row>
    <row r="302" spans="2:13" x14ac:dyDescent="0.25">
      <c r="B302" s="379"/>
      <c r="C302" s="384"/>
      <c r="G302" s="385"/>
      <c r="H302" s="386"/>
      <c r="I302" s="385"/>
      <c r="J302" s="385"/>
      <c r="K302" s="385"/>
      <c r="L302" s="385"/>
      <c r="M302" s="385"/>
    </row>
    <row r="303" spans="2:13" x14ac:dyDescent="0.25">
      <c r="C303" s="384"/>
      <c r="G303" s="385"/>
      <c r="H303" s="386"/>
      <c r="I303" s="385"/>
      <c r="J303" s="385"/>
      <c r="K303" s="385"/>
      <c r="L303" s="385"/>
      <c r="M303" s="385"/>
    </row>
    <row r="304" spans="2:13" x14ac:dyDescent="0.25">
      <c r="B304" s="570"/>
      <c r="C304" s="390"/>
      <c r="G304" s="385"/>
      <c r="H304" s="386"/>
      <c r="I304" s="385"/>
      <c r="J304" s="385"/>
      <c r="K304" s="385"/>
      <c r="L304" s="385"/>
      <c r="M304" s="385"/>
    </row>
    <row r="305" spans="2:14" x14ac:dyDescent="0.25">
      <c r="B305" s="379"/>
      <c r="C305" s="384"/>
      <c r="G305" s="385"/>
      <c r="H305" s="386"/>
      <c r="I305" s="385"/>
      <c r="J305" s="385"/>
      <c r="K305" s="385"/>
      <c r="L305" s="385"/>
      <c r="M305" s="385"/>
    </row>
    <row r="306" spans="2:14" x14ac:dyDescent="0.25">
      <c r="B306" s="379"/>
      <c r="C306" s="384"/>
      <c r="G306" s="385"/>
      <c r="H306" s="386"/>
      <c r="I306" s="385"/>
      <c r="J306" s="385"/>
      <c r="K306" s="385"/>
      <c r="L306" s="385"/>
      <c r="M306" s="385"/>
    </row>
    <row r="307" spans="2:14" x14ac:dyDescent="0.25">
      <c r="C307" s="390"/>
      <c r="G307" s="385"/>
      <c r="H307" s="386"/>
      <c r="J307" s="385"/>
      <c r="K307" s="385"/>
      <c r="L307" s="385"/>
      <c r="M307" s="385"/>
    </row>
    <row r="308" spans="2:14" x14ac:dyDescent="0.25">
      <c r="G308" s="385"/>
      <c r="H308" s="386"/>
      <c r="J308" s="385"/>
      <c r="K308" s="385"/>
      <c r="L308" s="385"/>
      <c r="M308" s="385"/>
    </row>
    <row r="309" spans="2:14" x14ac:dyDescent="0.25">
      <c r="K309" s="391"/>
      <c r="L309" s="391"/>
      <c r="M309" s="391"/>
      <c r="N309" s="392"/>
    </row>
    <row r="310" spans="2:14" x14ac:dyDescent="0.25">
      <c r="K310" s="391"/>
      <c r="L310" s="391"/>
      <c r="M310" s="391"/>
      <c r="N310" s="392"/>
    </row>
    <row r="311" spans="2:14" x14ac:dyDescent="0.25">
      <c r="K311" s="391"/>
      <c r="L311" s="391"/>
      <c r="M311" s="391"/>
      <c r="N311" s="392"/>
    </row>
    <row r="312" spans="2:14" x14ac:dyDescent="0.25">
      <c r="K312" s="391"/>
      <c r="L312" s="391"/>
      <c r="M312" s="391"/>
      <c r="N312" s="392"/>
    </row>
    <row r="313" spans="2:14" x14ac:dyDescent="0.25">
      <c r="K313" s="391"/>
      <c r="L313" s="391"/>
      <c r="M313" s="391"/>
      <c r="N313" s="392"/>
    </row>
    <row r="314" spans="2:14" x14ac:dyDescent="0.25">
      <c r="K314" s="391"/>
      <c r="L314" s="391"/>
      <c r="M314" s="391"/>
    </row>
  </sheetData>
  <autoFilter ref="A9:H36"/>
  <mergeCells count="12">
    <mergeCell ref="A36:D36"/>
    <mergeCell ref="G36:H36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8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C000"/>
    <pageSetUpPr fitToPage="1"/>
  </sheetPr>
  <dimension ref="B1:L37"/>
  <sheetViews>
    <sheetView view="pageBreakPreview" zoomScale="80" zoomScaleNormal="100" zoomScaleSheetLayoutView="80" workbookViewId="0">
      <selection activeCell="J12" sqref="J12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13.9" x14ac:dyDescent="0.3">
      <c r="B2" s="396" t="str">
        <f>'04-DO'!B2</f>
        <v>PROIECT : Extindere infrastructură educațională – Centrul Școlar pentru Educație înclusivă „Constantin Pufan”</v>
      </c>
      <c r="C2" s="411"/>
      <c r="D2" s="36"/>
      <c r="E2" s="36"/>
      <c r="F2" s="36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DG!C64</f>
        <v>OBIECT 5 - Mansardare Clădire C02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84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 t="e">
        <f>#REF!</f>
        <v>#REF!</v>
      </c>
      <c r="E22" s="430" t="e">
        <f t="shared" si="2"/>
        <v>#REF!</v>
      </c>
      <c r="F22" s="834" t="e">
        <f t="shared" si="3"/>
        <v>#REF!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f>'05-LU'!E13</f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f>'05-LD'!F31</f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</row>
    <row r="32" spans="2:9" ht="13.9" x14ac:dyDescent="0.3">
      <c r="B32" s="41"/>
      <c r="C32" s="42"/>
      <c r="D32" s="43"/>
      <c r="E32" s="43"/>
      <c r="F32" s="43"/>
      <c r="G32" s="32"/>
    </row>
    <row r="33" spans="2:12" x14ac:dyDescent="0.2">
      <c r="B33" s="41"/>
      <c r="C33" s="42"/>
      <c r="D33" s="43"/>
      <c r="E33" s="43"/>
      <c r="F33" s="44" t="s">
        <v>82</v>
      </c>
      <c r="G33" s="32"/>
    </row>
    <row r="34" spans="2:12" x14ac:dyDescent="0.25">
      <c r="B34" s="41"/>
      <c r="C34" s="42"/>
      <c r="D34" s="43"/>
      <c r="E34" s="808"/>
      <c r="F34" s="45"/>
      <c r="K34" s="853" t="e">
        <f>D31/415/DG!E129</f>
        <v>#REF!</v>
      </c>
      <c r="L34" s="32" t="s">
        <v>3</v>
      </c>
    </row>
    <row r="35" spans="2:12" x14ac:dyDescent="0.2">
      <c r="B35" s="41"/>
      <c r="C35" s="42"/>
      <c r="D35" s="43"/>
      <c r="E35" s="43"/>
      <c r="F35" s="44" t="s">
        <v>1516</v>
      </c>
    </row>
    <row r="36" spans="2:12" x14ac:dyDescent="0.25">
      <c r="B36" s="41"/>
      <c r="C36" s="42"/>
      <c r="D36" s="43"/>
      <c r="E36" s="43"/>
      <c r="F36" s="45" t="s">
        <v>83</v>
      </c>
    </row>
    <row r="37" spans="2:12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8">
    <mergeCell ref="B30:C30"/>
    <mergeCell ref="B31:C31"/>
    <mergeCell ref="B4:F5"/>
    <mergeCell ref="B8:B9"/>
    <mergeCell ref="C8:C9"/>
    <mergeCell ref="B11:F11"/>
    <mergeCell ref="B23:C23"/>
    <mergeCell ref="B25:C25"/>
  </mergeCells>
  <pageMargins left="0.7" right="0.7" top="0.75" bottom="0.75" header="0.3" footer="0.3"/>
  <pageSetup paperSize="9" scale="84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FF00"/>
    <pageSetUpPr fitToPage="1"/>
  </sheetPr>
  <dimension ref="A1:P309"/>
  <sheetViews>
    <sheetView view="pageBreakPreview" zoomScale="80" zoomScaleNormal="70" zoomScaleSheetLayoutView="80" workbookViewId="0">
      <selection activeCell="J12" sqref="J12"/>
    </sheetView>
  </sheetViews>
  <sheetFormatPr defaultColWidth="10.7109375" defaultRowHeight="12.75" x14ac:dyDescent="0.25"/>
  <cols>
    <col min="1" max="1" width="7.85546875" style="360" customWidth="1"/>
    <col min="2" max="2" width="25.7109375" style="373" customWidth="1"/>
    <col min="3" max="3" width="8.42578125" style="374" customWidth="1"/>
    <col min="4" max="5" width="12.7109375" style="375" customWidth="1"/>
    <col min="6" max="6" width="31.85546875" style="360" hidden="1" customWidth="1"/>
    <col min="7" max="7" width="50.7109375" style="360" customWidth="1"/>
    <col min="8" max="255" width="10.7109375" style="360"/>
    <col min="256" max="256" width="13.140625" style="360" customWidth="1"/>
    <col min="257" max="257" width="38" style="360" customWidth="1"/>
    <col min="258" max="258" width="8.42578125" style="360" customWidth="1"/>
    <col min="259" max="259" width="15.7109375" style="360" customWidth="1"/>
    <col min="260" max="260" width="18.28515625" style="360" customWidth="1"/>
    <col min="261" max="261" width="17.85546875" style="360" customWidth="1"/>
    <col min="262" max="262" width="0" style="360" hidden="1" customWidth="1"/>
    <col min="263" max="263" width="33.28515625" style="360" customWidth="1"/>
    <col min="264" max="511" width="10.7109375" style="360"/>
    <col min="512" max="512" width="13.140625" style="360" customWidth="1"/>
    <col min="513" max="513" width="38" style="360" customWidth="1"/>
    <col min="514" max="514" width="8.42578125" style="360" customWidth="1"/>
    <col min="515" max="515" width="15.7109375" style="360" customWidth="1"/>
    <col min="516" max="516" width="18.28515625" style="360" customWidth="1"/>
    <col min="517" max="517" width="17.85546875" style="360" customWidth="1"/>
    <col min="518" max="518" width="0" style="360" hidden="1" customWidth="1"/>
    <col min="519" max="519" width="33.28515625" style="360" customWidth="1"/>
    <col min="520" max="767" width="10.7109375" style="360"/>
    <col min="768" max="768" width="13.140625" style="360" customWidth="1"/>
    <col min="769" max="769" width="38" style="360" customWidth="1"/>
    <col min="770" max="770" width="8.42578125" style="360" customWidth="1"/>
    <col min="771" max="771" width="15.7109375" style="360" customWidth="1"/>
    <col min="772" max="772" width="18.28515625" style="360" customWidth="1"/>
    <col min="773" max="773" width="17.85546875" style="360" customWidth="1"/>
    <col min="774" max="774" width="0" style="360" hidden="1" customWidth="1"/>
    <col min="775" max="775" width="33.28515625" style="360" customWidth="1"/>
    <col min="776" max="1023" width="10.7109375" style="360"/>
    <col min="1024" max="1024" width="13.140625" style="360" customWidth="1"/>
    <col min="1025" max="1025" width="38" style="360" customWidth="1"/>
    <col min="1026" max="1026" width="8.42578125" style="360" customWidth="1"/>
    <col min="1027" max="1027" width="15.7109375" style="360" customWidth="1"/>
    <col min="1028" max="1028" width="18.28515625" style="360" customWidth="1"/>
    <col min="1029" max="1029" width="17.85546875" style="360" customWidth="1"/>
    <col min="1030" max="1030" width="0" style="360" hidden="1" customWidth="1"/>
    <col min="1031" max="1031" width="33.28515625" style="360" customWidth="1"/>
    <col min="1032" max="1279" width="10.7109375" style="360"/>
    <col min="1280" max="1280" width="13.140625" style="360" customWidth="1"/>
    <col min="1281" max="1281" width="38" style="360" customWidth="1"/>
    <col min="1282" max="1282" width="8.42578125" style="360" customWidth="1"/>
    <col min="1283" max="1283" width="15.7109375" style="360" customWidth="1"/>
    <col min="1284" max="1284" width="18.28515625" style="360" customWidth="1"/>
    <col min="1285" max="1285" width="17.85546875" style="360" customWidth="1"/>
    <col min="1286" max="1286" width="0" style="360" hidden="1" customWidth="1"/>
    <col min="1287" max="1287" width="33.28515625" style="360" customWidth="1"/>
    <col min="1288" max="1535" width="10.7109375" style="360"/>
    <col min="1536" max="1536" width="13.140625" style="360" customWidth="1"/>
    <col min="1537" max="1537" width="38" style="360" customWidth="1"/>
    <col min="1538" max="1538" width="8.42578125" style="360" customWidth="1"/>
    <col min="1539" max="1539" width="15.7109375" style="360" customWidth="1"/>
    <col min="1540" max="1540" width="18.28515625" style="360" customWidth="1"/>
    <col min="1541" max="1541" width="17.85546875" style="360" customWidth="1"/>
    <col min="1542" max="1542" width="0" style="360" hidden="1" customWidth="1"/>
    <col min="1543" max="1543" width="33.28515625" style="360" customWidth="1"/>
    <col min="1544" max="1791" width="10.7109375" style="360"/>
    <col min="1792" max="1792" width="13.140625" style="360" customWidth="1"/>
    <col min="1793" max="1793" width="38" style="360" customWidth="1"/>
    <col min="1794" max="1794" width="8.42578125" style="360" customWidth="1"/>
    <col min="1795" max="1795" width="15.7109375" style="360" customWidth="1"/>
    <col min="1796" max="1796" width="18.28515625" style="360" customWidth="1"/>
    <col min="1797" max="1797" width="17.85546875" style="360" customWidth="1"/>
    <col min="1798" max="1798" width="0" style="360" hidden="1" customWidth="1"/>
    <col min="1799" max="1799" width="33.28515625" style="360" customWidth="1"/>
    <col min="1800" max="2047" width="10.7109375" style="360"/>
    <col min="2048" max="2048" width="13.140625" style="360" customWidth="1"/>
    <col min="2049" max="2049" width="38" style="360" customWidth="1"/>
    <col min="2050" max="2050" width="8.42578125" style="360" customWidth="1"/>
    <col min="2051" max="2051" width="15.7109375" style="360" customWidth="1"/>
    <col min="2052" max="2052" width="18.28515625" style="360" customWidth="1"/>
    <col min="2053" max="2053" width="17.85546875" style="360" customWidth="1"/>
    <col min="2054" max="2054" width="0" style="360" hidden="1" customWidth="1"/>
    <col min="2055" max="2055" width="33.28515625" style="360" customWidth="1"/>
    <col min="2056" max="2303" width="10.7109375" style="360"/>
    <col min="2304" max="2304" width="13.140625" style="360" customWidth="1"/>
    <col min="2305" max="2305" width="38" style="360" customWidth="1"/>
    <col min="2306" max="2306" width="8.42578125" style="360" customWidth="1"/>
    <col min="2307" max="2307" width="15.7109375" style="360" customWidth="1"/>
    <col min="2308" max="2308" width="18.28515625" style="360" customWidth="1"/>
    <col min="2309" max="2309" width="17.85546875" style="360" customWidth="1"/>
    <col min="2310" max="2310" width="0" style="360" hidden="1" customWidth="1"/>
    <col min="2311" max="2311" width="33.28515625" style="360" customWidth="1"/>
    <col min="2312" max="2559" width="10.7109375" style="360"/>
    <col min="2560" max="2560" width="13.140625" style="360" customWidth="1"/>
    <col min="2561" max="2561" width="38" style="360" customWidth="1"/>
    <col min="2562" max="2562" width="8.42578125" style="360" customWidth="1"/>
    <col min="2563" max="2563" width="15.7109375" style="360" customWidth="1"/>
    <col min="2564" max="2564" width="18.28515625" style="360" customWidth="1"/>
    <col min="2565" max="2565" width="17.85546875" style="360" customWidth="1"/>
    <col min="2566" max="2566" width="0" style="360" hidden="1" customWidth="1"/>
    <col min="2567" max="2567" width="33.28515625" style="360" customWidth="1"/>
    <col min="2568" max="2815" width="10.7109375" style="360"/>
    <col min="2816" max="2816" width="13.140625" style="360" customWidth="1"/>
    <col min="2817" max="2817" width="38" style="360" customWidth="1"/>
    <col min="2818" max="2818" width="8.42578125" style="360" customWidth="1"/>
    <col min="2819" max="2819" width="15.7109375" style="360" customWidth="1"/>
    <col min="2820" max="2820" width="18.28515625" style="360" customWidth="1"/>
    <col min="2821" max="2821" width="17.85546875" style="360" customWidth="1"/>
    <col min="2822" max="2822" width="0" style="360" hidden="1" customWidth="1"/>
    <col min="2823" max="2823" width="33.28515625" style="360" customWidth="1"/>
    <col min="2824" max="3071" width="10.7109375" style="360"/>
    <col min="3072" max="3072" width="13.140625" style="360" customWidth="1"/>
    <col min="3073" max="3073" width="38" style="360" customWidth="1"/>
    <col min="3074" max="3074" width="8.42578125" style="360" customWidth="1"/>
    <col min="3075" max="3075" width="15.7109375" style="360" customWidth="1"/>
    <col min="3076" max="3076" width="18.28515625" style="360" customWidth="1"/>
    <col min="3077" max="3077" width="17.85546875" style="360" customWidth="1"/>
    <col min="3078" max="3078" width="0" style="360" hidden="1" customWidth="1"/>
    <col min="3079" max="3079" width="33.28515625" style="360" customWidth="1"/>
    <col min="3080" max="3327" width="10.7109375" style="360"/>
    <col min="3328" max="3328" width="13.140625" style="360" customWidth="1"/>
    <col min="3329" max="3329" width="38" style="360" customWidth="1"/>
    <col min="3330" max="3330" width="8.42578125" style="360" customWidth="1"/>
    <col min="3331" max="3331" width="15.7109375" style="360" customWidth="1"/>
    <col min="3332" max="3332" width="18.28515625" style="360" customWidth="1"/>
    <col min="3333" max="3333" width="17.85546875" style="360" customWidth="1"/>
    <col min="3334" max="3334" width="0" style="360" hidden="1" customWidth="1"/>
    <col min="3335" max="3335" width="33.28515625" style="360" customWidth="1"/>
    <col min="3336" max="3583" width="10.7109375" style="360"/>
    <col min="3584" max="3584" width="13.140625" style="360" customWidth="1"/>
    <col min="3585" max="3585" width="38" style="360" customWidth="1"/>
    <col min="3586" max="3586" width="8.42578125" style="360" customWidth="1"/>
    <col min="3587" max="3587" width="15.7109375" style="360" customWidth="1"/>
    <col min="3588" max="3588" width="18.28515625" style="360" customWidth="1"/>
    <col min="3589" max="3589" width="17.85546875" style="360" customWidth="1"/>
    <col min="3590" max="3590" width="0" style="360" hidden="1" customWidth="1"/>
    <col min="3591" max="3591" width="33.28515625" style="360" customWidth="1"/>
    <col min="3592" max="3839" width="10.7109375" style="360"/>
    <col min="3840" max="3840" width="13.140625" style="360" customWidth="1"/>
    <col min="3841" max="3841" width="38" style="360" customWidth="1"/>
    <col min="3842" max="3842" width="8.42578125" style="360" customWidth="1"/>
    <col min="3843" max="3843" width="15.7109375" style="360" customWidth="1"/>
    <col min="3844" max="3844" width="18.28515625" style="360" customWidth="1"/>
    <col min="3845" max="3845" width="17.85546875" style="360" customWidth="1"/>
    <col min="3846" max="3846" width="0" style="360" hidden="1" customWidth="1"/>
    <col min="3847" max="3847" width="33.28515625" style="360" customWidth="1"/>
    <col min="3848" max="4095" width="10.7109375" style="360"/>
    <col min="4096" max="4096" width="13.140625" style="360" customWidth="1"/>
    <col min="4097" max="4097" width="38" style="360" customWidth="1"/>
    <col min="4098" max="4098" width="8.42578125" style="360" customWidth="1"/>
    <col min="4099" max="4099" width="15.7109375" style="360" customWidth="1"/>
    <col min="4100" max="4100" width="18.28515625" style="360" customWidth="1"/>
    <col min="4101" max="4101" width="17.85546875" style="360" customWidth="1"/>
    <col min="4102" max="4102" width="0" style="360" hidden="1" customWidth="1"/>
    <col min="4103" max="4103" width="33.28515625" style="360" customWidth="1"/>
    <col min="4104" max="4351" width="10.7109375" style="360"/>
    <col min="4352" max="4352" width="13.140625" style="360" customWidth="1"/>
    <col min="4353" max="4353" width="38" style="360" customWidth="1"/>
    <col min="4354" max="4354" width="8.42578125" style="360" customWidth="1"/>
    <col min="4355" max="4355" width="15.7109375" style="360" customWidth="1"/>
    <col min="4356" max="4356" width="18.28515625" style="360" customWidth="1"/>
    <col min="4357" max="4357" width="17.85546875" style="360" customWidth="1"/>
    <col min="4358" max="4358" width="0" style="360" hidden="1" customWidth="1"/>
    <col min="4359" max="4359" width="33.28515625" style="360" customWidth="1"/>
    <col min="4360" max="4607" width="10.7109375" style="360"/>
    <col min="4608" max="4608" width="13.140625" style="360" customWidth="1"/>
    <col min="4609" max="4609" width="38" style="360" customWidth="1"/>
    <col min="4610" max="4610" width="8.42578125" style="360" customWidth="1"/>
    <col min="4611" max="4611" width="15.7109375" style="360" customWidth="1"/>
    <col min="4612" max="4612" width="18.28515625" style="360" customWidth="1"/>
    <col min="4613" max="4613" width="17.85546875" style="360" customWidth="1"/>
    <col min="4614" max="4614" width="0" style="360" hidden="1" customWidth="1"/>
    <col min="4615" max="4615" width="33.28515625" style="360" customWidth="1"/>
    <col min="4616" max="4863" width="10.7109375" style="360"/>
    <col min="4864" max="4864" width="13.140625" style="360" customWidth="1"/>
    <col min="4865" max="4865" width="38" style="360" customWidth="1"/>
    <col min="4866" max="4866" width="8.42578125" style="360" customWidth="1"/>
    <col min="4867" max="4867" width="15.7109375" style="360" customWidth="1"/>
    <col min="4868" max="4868" width="18.28515625" style="360" customWidth="1"/>
    <col min="4869" max="4869" width="17.85546875" style="360" customWidth="1"/>
    <col min="4870" max="4870" width="0" style="360" hidden="1" customWidth="1"/>
    <col min="4871" max="4871" width="33.28515625" style="360" customWidth="1"/>
    <col min="4872" max="5119" width="10.7109375" style="360"/>
    <col min="5120" max="5120" width="13.140625" style="360" customWidth="1"/>
    <col min="5121" max="5121" width="38" style="360" customWidth="1"/>
    <col min="5122" max="5122" width="8.42578125" style="360" customWidth="1"/>
    <col min="5123" max="5123" width="15.7109375" style="360" customWidth="1"/>
    <col min="5124" max="5124" width="18.28515625" style="360" customWidth="1"/>
    <col min="5125" max="5125" width="17.85546875" style="360" customWidth="1"/>
    <col min="5126" max="5126" width="0" style="360" hidden="1" customWidth="1"/>
    <col min="5127" max="5127" width="33.28515625" style="360" customWidth="1"/>
    <col min="5128" max="5375" width="10.7109375" style="360"/>
    <col min="5376" max="5376" width="13.140625" style="360" customWidth="1"/>
    <col min="5377" max="5377" width="38" style="360" customWidth="1"/>
    <col min="5378" max="5378" width="8.42578125" style="360" customWidth="1"/>
    <col min="5379" max="5379" width="15.7109375" style="360" customWidth="1"/>
    <col min="5380" max="5380" width="18.28515625" style="360" customWidth="1"/>
    <col min="5381" max="5381" width="17.85546875" style="360" customWidth="1"/>
    <col min="5382" max="5382" width="0" style="360" hidden="1" customWidth="1"/>
    <col min="5383" max="5383" width="33.28515625" style="360" customWidth="1"/>
    <col min="5384" max="5631" width="10.7109375" style="360"/>
    <col min="5632" max="5632" width="13.140625" style="360" customWidth="1"/>
    <col min="5633" max="5633" width="38" style="360" customWidth="1"/>
    <col min="5634" max="5634" width="8.42578125" style="360" customWidth="1"/>
    <col min="5635" max="5635" width="15.7109375" style="360" customWidth="1"/>
    <col min="5636" max="5636" width="18.28515625" style="360" customWidth="1"/>
    <col min="5637" max="5637" width="17.85546875" style="360" customWidth="1"/>
    <col min="5638" max="5638" width="0" style="360" hidden="1" customWidth="1"/>
    <col min="5639" max="5639" width="33.28515625" style="360" customWidth="1"/>
    <col min="5640" max="5887" width="10.7109375" style="360"/>
    <col min="5888" max="5888" width="13.140625" style="360" customWidth="1"/>
    <col min="5889" max="5889" width="38" style="360" customWidth="1"/>
    <col min="5890" max="5890" width="8.42578125" style="360" customWidth="1"/>
    <col min="5891" max="5891" width="15.7109375" style="360" customWidth="1"/>
    <col min="5892" max="5892" width="18.28515625" style="360" customWidth="1"/>
    <col min="5893" max="5893" width="17.85546875" style="360" customWidth="1"/>
    <col min="5894" max="5894" width="0" style="360" hidden="1" customWidth="1"/>
    <col min="5895" max="5895" width="33.28515625" style="360" customWidth="1"/>
    <col min="5896" max="6143" width="10.7109375" style="360"/>
    <col min="6144" max="6144" width="13.140625" style="360" customWidth="1"/>
    <col min="6145" max="6145" width="38" style="360" customWidth="1"/>
    <col min="6146" max="6146" width="8.42578125" style="360" customWidth="1"/>
    <col min="6147" max="6147" width="15.7109375" style="360" customWidth="1"/>
    <col min="6148" max="6148" width="18.28515625" style="360" customWidth="1"/>
    <col min="6149" max="6149" width="17.85546875" style="360" customWidth="1"/>
    <col min="6150" max="6150" width="0" style="360" hidden="1" customWidth="1"/>
    <col min="6151" max="6151" width="33.28515625" style="360" customWidth="1"/>
    <col min="6152" max="6399" width="10.7109375" style="360"/>
    <col min="6400" max="6400" width="13.140625" style="360" customWidth="1"/>
    <col min="6401" max="6401" width="38" style="360" customWidth="1"/>
    <col min="6402" max="6402" width="8.42578125" style="360" customWidth="1"/>
    <col min="6403" max="6403" width="15.7109375" style="360" customWidth="1"/>
    <col min="6404" max="6404" width="18.28515625" style="360" customWidth="1"/>
    <col min="6405" max="6405" width="17.85546875" style="360" customWidth="1"/>
    <col min="6406" max="6406" width="0" style="360" hidden="1" customWidth="1"/>
    <col min="6407" max="6407" width="33.28515625" style="360" customWidth="1"/>
    <col min="6408" max="6655" width="10.7109375" style="360"/>
    <col min="6656" max="6656" width="13.140625" style="360" customWidth="1"/>
    <col min="6657" max="6657" width="38" style="360" customWidth="1"/>
    <col min="6658" max="6658" width="8.42578125" style="360" customWidth="1"/>
    <col min="6659" max="6659" width="15.7109375" style="360" customWidth="1"/>
    <col min="6660" max="6660" width="18.28515625" style="360" customWidth="1"/>
    <col min="6661" max="6661" width="17.85546875" style="360" customWidth="1"/>
    <col min="6662" max="6662" width="0" style="360" hidden="1" customWidth="1"/>
    <col min="6663" max="6663" width="33.28515625" style="360" customWidth="1"/>
    <col min="6664" max="6911" width="10.7109375" style="360"/>
    <col min="6912" max="6912" width="13.140625" style="360" customWidth="1"/>
    <col min="6913" max="6913" width="38" style="360" customWidth="1"/>
    <col min="6914" max="6914" width="8.42578125" style="360" customWidth="1"/>
    <col min="6915" max="6915" width="15.7109375" style="360" customWidth="1"/>
    <col min="6916" max="6916" width="18.28515625" style="360" customWidth="1"/>
    <col min="6917" max="6917" width="17.85546875" style="360" customWidth="1"/>
    <col min="6918" max="6918" width="0" style="360" hidden="1" customWidth="1"/>
    <col min="6919" max="6919" width="33.28515625" style="360" customWidth="1"/>
    <col min="6920" max="7167" width="10.7109375" style="360"/>
    <col min="7168" max="7168" width="13.140625" style="360" customWidth="1"/>
    <col min="7169" max="7169" width="38" style="360" customWidth="1"/>
    <col min="7170" max="7170" width="8.42578125" style="360" customWidth="1"/>
    <col min="7171" max="7171" width="15.7109375" style="360" customWidth="1"/>
    <col min="7172" max="7172" width="18.28515625" style="360" customWidth="1"/>
    <col min="7173" max="7173" width="17.85546875" style="360" customWidth="1"/>
    <col min="7174" max="7174" width="0" style="360" hidden="1" customWidth="1"/>
    <col min="7175" max="7175" width="33.28515625" style="360" customWidth="1"/>
    <col min="7176" max="7423" width="10.7109375" style="360"/>
    <col min="7424" max="7424" width="13.140625" style="360" customWidth="1"/>
    <col min="7425" max="7425" width="38" style="360" customWidth="1"/>
    <col min="7426" max="7426" width="8.42578125" style="360" customWidth="1"/>
    <col min="7427" max="7427" width="15.7109375" style="360" customWidth="1"/>
    <col min="7428" max="7428" width="18.28515625" style="360" customWidth="1"/>
    <col min="7429" max="7429" width="17.85546875" style="360" customWidth="1"/>
    <col min="7430" max="7430" width="0" style="360" hidden="1" customWidth="1"/>
    <col min="7431" max="7431" width="33.28515625" style="360" customWidth="1"/>
    <col min="7432" max="7679" width="10.7109375" style="360"/>
    <col min="7680" max="7680" width="13.140625" style="360" customWidth="1"/>
    <col min="7681" max="7681" width="38" style="360" customWidth="1"/>
    <col min="7682" max="7682" width="8.42578125" style="360" customWidth="1"/>
    <col min="7683" max="7683" width="15.7109375" style="360" customWidth="1"/>
    <col min="7684" max="7684" width="18.28515625" style="360" customWidth="1"/>
    <col min="7685" max="7685" width="17.85546875" style="360" customWidth="1"/>
    <col min="7686" max="7686" width="0" style="360" hidden="1" customWidth="1"/>
    <col min="7687" max="7687" width="33.28515625" style="360" customWidth="1"/>
    <col min="7688" max="7935" width="10.7109375" style="360"/>
    <col min="7936" max="7936" width="13.140625" style="360" customWidth="1"/>
    <col min="7937" max="7937" width="38" style="360" customWidth="1"/>
    <col min="7938" max="7938" width="8.42578125" style="360" customWidth="1"/>
    <col min="7939" max="7939" width="15.7109375" style="360" customWidth="1"/>
    <col min="7940" max="7940" width="18.28515625" style="360" customWidth="1"/>
    <col min="7941" max="7941" width="17.85546875" style="360" customWidth="1"/>
    <col min="7942" max="7942" width="0" style="360" hidden="1" customWidth="1"/>
    <col min="7943" max="7943" width="33.28515625" style="360" customWidth="1"/>
    <col min="7944" max="8191" width="10.7109375" style="360"/>
    <col min="8192" max="8192" width="13.140625" style="360" customWidth="1"/>
    <col min="8193" max="8193" width="38" style="360" customWidth="1"/>
    <col min="8194" max="8194" width="8.42578125" style="360" customWidth="1"/>
    <col min="8195" max="8195" width="15.7109375" style="360" customWidth="1"/>
    <col min="8196" max="8196" width="18.28515625" style="360" customWidth="1"/>
    <col min="8197" max="8197" width="17.85546875" style="360" customWidth="1"/>
    <col min="8198" max="8198" width="0" style="360" hidden="1" customWidth="1"/>
    <col min="8199" max="8199" width="33.28515625" style="360" customWidth="1"/>
    <col min="8200" max="8447" width="10.7109375" style="360"/>
    <col min="8448" max="8448" width="13.140625" style="360" customWidth="1"/>
    <col min="8449" max="8449" width="38" style="360" customWidth="1"/>
    <col min="8450" max="8450" width="8.42578125" style="360" customWidth="1"/>
    <col min="8451" max="8451" width="15.7109375" style="360" customWidth="1"/>
    <col min="8452" max="8452" width="18.28515625" style="360" customWidth="1"/>
    <col min="8453" max="8453" width="17.85546875" style="360" customWidth="1"/>
    <col min="8454" max="8454" width="0" style="360" hidden="1" customWidth="1"/>
    <col min="8455" max="8455" width="33.28515625" style="360" customWidth="1"/>
    <col min="8456" max="8703" width="10.7109375" style="360"/>
    <col min="8704" max="8704" width="13.140625" style="360" customWidth="1"/>
    <col min="8705" max="8705" width="38" style="360" customWidth="1"/>
    <col min="8706" max="8706" width="8.42578125" style="360" customWidth="1"/>
    <col min="8707" max="8707" width="15.7109375" style="360" customWidth="1"/>
    <col min="8708" max="8708" width="18.28515625" style="360" customWidth="1"/>
    <col min="8709" max="8709" width="17.85546875" style="360" customWidth="1"/>
    <col min="8710" max="8710" width="0" style="360" hidden="1" customWidth="1"/>
    <col min="8711" max="8711" width="33.28515625" style="360" customWidth="1"/>
    <col min="8712" max="8959" width="10.7109375" style="360"/>
    <col min="8960" max="8960" width="13.140625" style="360" customWidth="1"/>
    <col min="8961" max="8961" width="38" style="360" customWidth="1"/>
    <col min="8962" max="8962" width="8.42578125" style="360" customWidth="1"/>
    <col min="8963" max="8963" width="15.7109375" style="360" customWidth="1"/>
    <col min="8964" max="8964" width="18.28515625" style="360" customWidth="1"/>
    <col min="8965" max="8965" width="17.85546875" style="360" customWidth="1"/>
    <col min="8966" max="8966" width="0" style="360" hidden="1" customWidth="1"/>
    <col min="8967" max="8967" width="33.28515625" style="360" customWidth="1"/>
    <col min="8968" max="9215" width="10.7109375" style="360"/>
    <col min="9216" max="9216" width="13.140625" style="360" customWidth="1"/>
    <col min="9217" max="9217" width="38" style="360" customWidth="1"/>
    <col min="9218" max="9218" width="8.42578125" style="360" customWidth="1"/>
    <col min="9219" max="9219" width="15.7109375" style="360" customWidth="1"/>
    <col min="9220" max="9220" width="18.28515625" style="360" customWidth="1"/>
    <col min="9221" max="9221" width="17.85546875" style="360" customWidth="1"/>
    <col min="9222" max="9222" width="0" style="360" hidden="1" customWidth="1"/>
    <col min="9223" max="9223" width="33.28515625" style="360" customWidth="1"/>
    <col min="9224" max="9471" width="10.7109375" style="360"/>
    <col min="9472" max="9472" width="13.140625" style="360" customWidth="1"/>
    <col min="9473" max="9473" width="38" style="360" customWidth="1"/>
    <col min="9474" max="9474" width="8.42578125" style="360" customWidth="1"/>
    <col min="9475" max="9475" width="15.7109375" style="360" customWidth="1"/>
    <col min="9476" max="9476" width="18.28515625" style="360" customWidth="1"/>
    <col min="9477" max="9477" width="17.85546875" style="360" customWidth="1"/>
    <col min="9478" max="9478" width="0" style="360" hidden="1" customWidth="1"/>
    <col min="9479" max="9479" width="33.28515625" style="360" customWidth="1"/>
    <col min="9480" max="9727" width="10.7109375" style="360"/>
    <col min="9728" max="9728" width="13.140625" style="360" customWidth="1"/>
    <col min="9729" max="9729" width="38" style="360" customWidth="1"/>
    <col min="9730" max="9730" width="8.42578125" style="360" customWidth="1"/>
    <col min="9731" max="9731" width="15.7109375" style="360" customWidth="1"/>
    <col min="9732" max="9732" width="18.28515625" style="360" customWidth="1"/>
    <col min="9733" max="9733" width="17.85546875" style="360" customWidth="1"/>
    <col min="9734" max="9734" width="0" style="360" hidden="1" customWidth="1"/>
    <col min="9735" max="9735" width="33.28515625" style="360" customWidth="1"/>
    <col min="9736" max="9983" width="10.7109375" style="360"/>
    <col min="9984" max="9984" width="13.140625" style="360" customWidth="1"/>
    <col min="9985" max="9985" width="38" style="360" customWidth="1"/>
    <col min="9986" max="9986" width="8.42578125" style="360" customWidth="1"/>
    <col min="9987" max="9987" width="15.7109375" style="360" customWidth="1"/>
    <col min="9988" max="9988" width="18.28515625" style="360" customWidth="1"/>
    <col min="9989" max="9989" width="17.85546875" style="360" customWidth="1"/>
    <col min="9990" max="9990" width="0" style="360" hidden="1" customWidth="1"/>
    <col min="9991" max="9991" width="33.28515625" style="360" customWidth="1"/>
    <col min="9992" max="10239" width="10.7109375" style="360"/>
    <col min="10240" max="10240" width="13.140625" style="360" customWidth="1"/>
    <col min="10241" max="10241" width="38" style="360" customWidth="1"/>
    <col min="10242" max="10242" width="8.42578125" style="360" customWidth="1"/>
    <col min="10243" max="10243" width="15.7109375" style="360" customWidth="1"/>
    <col min="10244" max="10244" width="18.28515625" style="360" customWidth="1"/>
    <col min="10245" max="10245" width="17.85546875" style="360" customWidth="1"/>
    <col min="10246" max="10246" width="0" style="360" hidden="1" customWidth="1"/>
    <col min="10247" max="10247" width="33.28515625" style="360" customWidth="1"/>
    <col min="10248" max="10495" width="10.7109375" style="360"/>
    <col min="10496" max="10496" width="13.140625" style="360" customWidth="1"/>
    <col min="10497" max="10497" width="38" style="360" customWidth="1"/>
    <col min="10498" max="10498" width="8.42578125" style="360" customWidth="1"/>
    <col min="10499" max="10499" width="15.7109375" style="360" customWidth="1"/>
    <col min="10500" max="10500" width="18.28515625" style="360" customWidth="1"/>
    <col min="10501" max="10501" width="17.85546875" style="360" customWidth="1"/>
    <col min="10502" max="10502" width="0" style="360" hidden="1" customWidth="1"/>
    <col min="10503" max="10503" width="33.28515625" style="360" customWidth="1"/>
    <col min="10504" max="10751" width="10.7109375" style="360"/>
    <col min="10752" max="10752" width="13.140625" style="360" customWidth="1"/>
    <col min="10753" max="10753" width="38" style="360" customWidth="1"/>
    <col min="10754" max="10754" width="8.42578125" style="360" customWidth="1"/>
    <col min="10755" max="10755" width="15.7109375" style="360" customWidth="1"/>
    <col min="10756" max="10756" width="18.28515625" style="360" customWidth="1"/>
    <col min="10757" max="10757" width="17.85546875" style="360" customWidth="1"/>
    <col min="10758" max="10758" width="0" style="360" hidden="1" customWidth="1"/>
    <col min="10759" max="10759" width="33.28515625" style="360" customWidth="1"/>
    <col min="10760" max="11007" width="10.7109375" style="360"/>
    <col min="11008" max="11008" width="13.140625" style="360" customWidth="1"/>
    <col min="11009" max="11009" width="38" style="360" customWidth="1"/>
    <col min="11010" max="11010" width="8.42578125" style="360" customWidth="1"/>
    <col min="11011" max="11011" width="15.7109375" style="360" customWidth="1"/>
    <col min="11012" max="11012" width="18.28515625" style="360" customWidth="1"/>
    <col min="11013" max="11013" width="17.85546875" style="360" customWidth="1"/>
    <col min="11014" max="11014" width="0" style="360" hidden="1" customWidth="1"/>
    <col min="11015" max="11015" width="33.28515625" style="360" customWidth="1"/>
    <col min="11016" max="11263" width="10.7109375" style="360"/>
    <col min="11264" max="11264" width="13.140625" style="360" customWidth="1"/>
    <col min="11265" max="11265" width="38" style="360" customWidth="1"/>
    <col min="11266" max="11266" width="8.42578125" style="360" customWidth="1"/>
    <col min="11267" max="11267" width="15.7109375" style="360" customWidth="1"/>
    <col min="11268" max="11268" width="18.28515625" style="360" customWidth="1"/>
    <col min="11269" max="11269" width="17.85546875" style="360" customWidth="1"/>
    <col min="11270" max="11270" width="0" style="360" hidden="1" customWidth="1"/>
    <col min="11271" max="11271" width="33.28515625" style="360" customWidth="1"/>
    <col min="11272" max="11519" width="10.7109375" style="360"/>
    <col min="11520" max="11520" width="13.140625" style="360" customWidth="1"/>
    <col min="11521" max="11521" width="38" style="360" customWidth="1"/>
    <col min="11522" max="11522" width="8.42578125" style="360" customWidth="1"/>
    <col min="11523" max="11523" width="15.7109375" style="360" customWidth="1"/>
    <col min="11524" max="11524" width="18.28515625" style="360" customWidth="1"/>
    <col min="11525" max="11525" width="17.85546875" style="360" customWidth="1"/>
    <col min="11526" max="11526" width="0" style="360" hidden="1" customWidth="1"/>
    <col min="11527" max="11527" width="33.28515625" style="360" customWidth="1"/>
    <col min="11528" max="11775" width="10.7109375" style="360"/>
    <col min="11776" max="11776" width="13.140625" style="360" customWidth="1"/>
    <col min="11777" max="11777" width="38" style="360" customWidth="1"/>
    <col min="11778" max="11778" width="8.42578125" style="360" customWidth="1"/>
    <col min="11779" max="11779" width="15.7109375" style="360" customWidth="1"/>
    <col min="11780" max="11780" width="18.28515625" style="360" customWidth="1"/>
    <col min="11781" max="11781" width="17.85546875" style="360" customWidth="1"/>
    <col min="11782" max="11782" width="0" style="360" hidden="1" customWidth="1"/>
    <col min="11783" max="11783" width="33.28515625" style="360" customWidth="1"/>
    <col min="11784" max="12031" width="10.7109375" style="360"/>
    <col min="12032" max="12032" width="13.140625" style="360" customWidth="1"/>
    <col min="12033" max="12033" width="38" style="360" customWidth="1"/>
    <col min="12034" max="12034" width="8.42578125" style="360" customWidth="1"/>
    <col min="12035" max="12035" width="15.7109375" style="360" customWidth="1"/>
    <col min="12036" max="12036" width="18.28515625" style="360" customWidth="1"/>
    <col min="12037" max="12037" width="17.85546875" style="360" customWidth="1"/>
    <col min="12038" max="12038" width="0" style="360" hidden="1" customWidth="1"/>
    <col min="12039" max="12039" width="33.28515625" style="360" customWidth="1"/>
    <col min="12040" max="12287" width="10.7109375" style="360"/>
    <col min="12288" max="12288" width="13.140625" style="360" customWidth="1"/>
    <col min="12289" max="12289" width="38" style="360" customWidth="1"/>
    <col min="12290" max="12290" width="8.42578125" style="360" customWidth="1"/>
    <col min="12291" max="12291" width="15.7109375" style="360" customWidth="1"/>
    <col min="12292" max="12292" width="18.28515625" style="360" customWidth="1"/>
    <col min="12293" max="12293" width="17.85546875" style="360" customWidth="1"/>
    <col min="12294" max="12294" width="0" style="360" hidden="1" customWidth="1"/>
    <col min="12295" max="12295" width="33.28515625" style="360" customWidth="1"/>
    <col min="12296" max="12543" width="10.7109375" style="360"/>
    <col min="12544" max="12544" width="13.140625" style="360" customWidth="1"/>
    <col min="12545" max="12545" width="38" style="360" customWidth="1"/>
    <col min="12546" max="12546" width="8.42578125" style="360" customWidth="1"/>
    <col min="12547" max="12547" width="15.7109375" style="360" customWidth="1"/>
    <col min="12548" max="12548" width="18.28515625" style="360" customWidth="1"/>
    <col min="12549" max="12549" width="17.85546875" style="360" customWidth="1"/>
    <col min="12550" max="12550" width="0" style="360" hidden="1" customWidth="1"/>
    <col min="12551" max="12551" width="33.28515625" style="360" customWidth="1"/>
    <col min="12552" max="12799" width="10.7109375" style="360"/>
    <col min="12800" max="12800" width="13.140625" style="360" customWidth="1"/>
    <col min="12801" max="12801" width="38" style="360" customWidth="1"/>
    <col min="12802" max="12802" width="8.42578125" style="360" customWidth="1"/>
    <col min="12803" max="12803" width="15.7109375" style="360" customWidth="1"/>
    <col min="12804" max="12804" width="18.28515625" style="360" customWidth="1"/>
    <col min="12805" max="12805" width="17.85546875" style="360" customWidth="1"/>
    <col min="12806" max="12806" width="0" style="360" hidden="1" customWidth="1"/>
    <col min="12807" max="12807" width="33.28515625" style="360" customWidth="1"/>
    <col min="12808" max="13055" width="10.7109375" style="360"/>
    <col min="13056" max="13056" width="13.140625" style="360" customWidth="1"/>
    <col min="13057" max="13057" width="38" style="360" customWidth="1"/>
    <col min="13058" max="13058" width="8.42578125" style="360" customWidth="1"/>
    <col min="13059" max="13059" width="15.7109375" style="360" customWidth="1"/>
    <col min="13060" max="13060" width="18.28515625" style="360" customWidth="1"/>
    <col min="13061" max="13061" width="17.85546875" style="360" customWidth="1"/>
    <col min="13062" max="13062" width="0" style="360" hidden="1" customWidth="1"/>
    <col min="13063" max="13063" width="33.28515625" style="360" customWidth="1"/>
    <col min="13064" max="13311" width="10.7109375" style="360"/>
    <col min="13312" max="13312" width="13.140625" style="360" customWidth="1"/>
    <col min="13313" max="13313" width="38" style="360" customWidth="1"/>
    <col min="13314" max="13314" width="8.42578125" style="360" customWidth="1"/>
    <col min="13315" max="13315" width="15.7109375" style="360" customWidth="1"/>
    <col min="13316" max="13316" width="18.28515625" style="360" customWidth="1"/>
    <col min="13317" max="13317" width="17.85546875" style="360" customWidth="1"/>
    <col min="13318" max="13318" width="0" style="360" hidden="1" customWidth="1"/>
    <col min="13319" max="13319" width="33.28515625" style="360" customWidth="1"/>
    <col min="13320" max="13567" width="10.7109375" style="360"/>
    <col min="13568" max="13568" width="13.140625" style="360" customWidth="1"/>
    <col min="13569" max="13569" width="38" style="360" customWidth="1"/>
    <col min="13570" max="13570" width="8.42578125" style="360" customWidth="1"/>
    <col min="13571" max="13571" width="15.7109375" style="360" customWidth="1"/>
    <col min="13572" max="13572" width="18.28515625" style="360" customWidth="1"/>
    <col min="13573" max="13573" width="17.85546875" style="360" customWidth="1"/>
    <col min="13574" max="13574" width="0" style="360" hidden="1" customWidth="1"/>
    <col min="13575" max="13575" width="33.28515625" style="360" customWidth="1"/>
    <col min="13576" max="13823" width="10.7109375" style="360"/>
    <col min="13824" max="13824" width="13.140625" style="360" customWidth="1"/>
    <col min="13825" max="13825" width="38" style="360" customWidth="1"/>
    <col min="13826" max="13826" width="8.42578125" style="360" customWidth="1"/>
    <col min="13827" max="13827" width="15.7109375" style="360" customWidth="1"/>
    <col min="13828" max="13828" width="18.28515625" style="360" customWidth="1"/>
    <col min="13829" max="13829" width="17.85546875" style="360" customWidth="1"/>
    <col min="13830" max="13830" width="0" style="360" hidden="1" customWidth="1"/>
    <col min="13831" max="13831" width="33.28515625" style="360" customWidth="1"/>
    <col min="13832" max="14079" width="10.7109375" style="360"/>
    <col min="14080" max="14080" width="13.140625" style="360" customWidth="1"/>
    <col min="14081" max="14081" width="38" style="360" customWidth="1"/>
    <col min="14082" max="14082" width="8.42578125" style="360" customWidth="1"/>
    <col min="14083" max="14083" width="15.7109375" style="360" customWidth="1"/>
    <col min="14084" max="14084" width="18.28515625" style="360" customWidth="1"/>
    <col min="14085" max="14085" width="17.85546875" style="360" customWidth="1"/>
    <col min="14086" max="14086" width="0" style="360" hidden="1" customWidth="1"/>
    <col min="14087" max="14087" width="33.28515625" style="360" customWidth="1"/>
    <col min="14088" max="14335" width="10.7109375" style="360"/>
    <col min="14336" max="14336" width="13.140625" style="360" customWidth="1"/>
    <col min="14337" max="14337" width="38" style="360" customWidth="1"/>
    <col min="14338" max="14338" width="8.42578125" style="360" customWidth="1"/>
    <col min="14339" max="14339" width="15.7109375" style="360" customWidth="1"/>
    <col min="14340" max="14340" width="18.28515625" style="360" customWidth="1"/>
    <col min="14341" max="14341" width="17.85546875" style="360" customWidth="1"/>
    <col min="14342" max="14342" width="0" style="360" hidden="1" customWidth="1"/>
    <col min="14343" max="14343" width="33.28515625" style="360" customWidth="1"/>
    <col min="14344" max="14591" width="10.7109375" style="360"/>
    <col min="14592" max="14592" width="13.140625" style="360" customWidth="1"/>
    <col min="14593" max="14593" width="38" style="360" customWidth="1"/>
    <col min="14594" max="14594" width="8.42578125" style="360" customWidth="1"/>
    <col min="14595" max="14595" width="15.7109375" style="360" customWidth="1"/>
    <col min="14596" max="14596" width="18.28515625" style="360" customWidth="1"/>
    <col min="14597" max="14597" width="17.85546875" style="360" customWidth="1"/>
    <col min="14598" max="14598" width="0" style="360" hidden="1" customWidth="1"/>
    <col min="14599" max="14599" width="33.28515625" style="360" customWidth="1"/>
    <col min="14600" max="14847" width="10.7109375" style="360"/>
    <col min="14848" max="14848" width="13.140625" style="360" customWidth="1"/>
    <col min="14849" max="14849" width="38" style="360" customWidth="1"/>
    <col min="14850" max="14850" width="8.42578125" style="360" customWidth="1"/>
    <col min="14851" max="14851" width="15.7109375" style="360" customWidth="1"/>
    <col min="14852" max="14852" width="18.28515625" style="360" customWidth="1"/>
    <col min="14853" max="14853" width="17.85546875" style="360" customWidth="1"/>
    <col min="14854" max="14854" width="0" style="360" hidden="1" customWidth="1"/>
    <col min="14855" max="14855" width="33.28515625" style="360" customWidth="1"/>
    <col min="14856" max="15103" width="10.7109375" style="360"/>
    <col min="15104" max="15104" width="13.140625" style="360" customWidth="1"/>
    <col min="15105" max="15105" width="38" style="360" customWidth="1"/>
    <col min="15106" max="15106" width="8.42578125" style="360" customWidth="1"/>
    <col min="15107" max="15107" width="15.7109375" style="360" customWidth="1"/>
    <col min="15108" max="15108" width="18.28515625" style="360" customWidth="1"/>
    <col min="15109" max="15109" width="17.85546875" style="360" customWidth="1"/>
    <col min="15110" max="15110" width="0" style="360" hidden="1" customWidth="1"/>
    <col min="15111" max="15111" width="33.28515625" style="360" customWidth="1"/>
    <col min="15112" max="15359" width="10.7109375" style="360"/>
    <col min="15360" max="15360" width="13.140625" style="360" customWidth="1"/>
    <col min="15361" max="15361" width="38" style="360" customWidth="1"/>
    <col min="15362" max="15362" width="8.42578125" style="360" customWidth="1"/>
    <col min="15363" max="15363" width="15.7109375" style="360" customWidth="1"/>
    <col min="15364" max="15364" width="18.28515625" style="360" customWidth="1"/>
    <col min="15365" max="15365" width="17.85546875" style="360" customWidth="1"/>
    <col min="15366" max="15366" width="0" style="360" hidden="1" customWidth="1"/>
    <col min="15367" max="15367" width="33.28515625" style="360" customWidth="1"/>
    <col min="15368" max="15615" width="10.7109375" style="360"/>
    <col min="15616" max="15616" width="13.140625" style="360" customWidth="1"/>
    <col min="15617" max="15617" width="38" style="360" customWidth="1"/>
    <col min="15618" max="15618" width="8.42578125" style="360" customWidth="1"/>
    <col min="15619" max="15619" width="15.7109375" style="360" customWidth="1"/>
    <col min="15620" max="15620" width="18.28515625" style="360" customWidth="1"/>
    <col min="15621" max="15621" width="17.85546875" style="360" customWidth="1"/>
    <col min="15622" max="15622" width="0" style="360" hidden="1" customWidth="1"/>
    <col min="15623" max="15623" width="33.28515625" style="360" customWidth="1"/>
    <col min="15624" max="15871" width="10.7109375" style="360"/>
    <col min="15872" max="15872" width="13.140625" style="360" customWidth="1"/>
    <col min="15873" max="15873" width="38" style="360" customWidth="1"/>
    <col min="15874" max="15874" width="8.42578125" style="360" customWidth="1"/>
    <col min="15875" max="15875" width="15.7109375" style="360" customWidth="1"/>
    <col min="15876" max="15876" width="18.28515625" style="360" customWidth="1"/>
    <col min="15877" max="15877" width="17.85546875" style="360" customWidth="1"/>
    <col min="15878" max="15878" width="0" style="360" hidden="1" customWidth="1"/>
    <col min="15879" max="15879" width="33.28515625" style="360" customWidth="1"/>
    <col min="15880" max="16127" width="10.7109375" style="360"/>
    <col min="16128" max="16128" width="13.140625" style="360" customWidth="1"/>
    <col min="16129" max="16129" width="38" style="360" customWidth="1"/>
    <col min="16130" max="16130" width="8.42578125" style="360" customWidth="1"/>
    <col min="16131" max="16131" width="15.7109375" style="360" customWidth="1"/>
    <col min="16132" max="16132" width="18.28515625" style="360" customWidth="1"/>
    <col min="16133" max="16133" width="17.85546875" style="360" customWidth="1"/>
    <col min="16134" max="16134" width="0" style="360" hidden="1" customWidth="1"/>
    <col min="16135" max="16135" width="33.28515625" style="360" customWidth="1"/>
    <col min="16136" max="16384" width="10.7109375" style="360"/>
  </cols>
  <sheetData>
    <row r="1" spans="1:9" ht="15" customHeight="1" x14ac:dyDescent="0.25">
      <c r="A1" s="547" t="s">
        <v>1786</v>
      </c>
      <c r="B1" s="356"/>
      <c r="C1" s="357"/>
      <c r="D1" s="358"/>
      <c r="E1" s="358"/>
      <c r="F1" s="359"/>
      <c r="G1" s="359"/>
    </row>
    <row r="2" spans="1:9" ht="15" customHeight="1" x14ac:dyDescent="0.3">
      <c r="A2" s="361"/>
      <c r="B2" s="356"/>
      <c r="C2" s="357"/>
      <c r="D2" s="358"/>
      <c r="E2" s="358"/>
      <c r="F2" s="359"/>
      <c r="G2" s="359"/>
    </row>
    <row r="3" spans="1:9" ht="15" customHeight="1" x14ac:dyDescent="0.3">
      <c r="A3" s="359"/>
      <c r="B3" s="362"/>
      <c r="C3" s="357"/>
      <c r="D3" s="358"/>
      <c r="E3" s="358"/>
      <c r="F3" s="359"/>
      <c r="G3" s="359"/>
    </row>
    <row r="4" spans="1:9" ht="15" customHeight="1" x14ac:dyDescent="0.3">
      <c r="A4" s="1445" t="s">
        <v>1178</v>
      </c>
      <c r="B4" s="1445"/>
      <c r="C4" s="1445"/>
      <c r="D4" s="1445"/>
      <c r="E4" s="1445"/>
      <c r="F4" s="1445"/>
      <c r="G4" s="1445"/>
    </row>
    <row r="5" spans="1:9" ht="15" customHeight="1" x14ac:dyDescent="0.3">
      <c r="A5" s="1445" t="s">
        <v>1194</v>
      </c>
      <c r="B5" s="1445"/>
      <c r="C5" s="1445"/>
      <c r="D5" s="1445"/>
      <c r="E5" s="1445"/>
      <c r="F5" s="1445"/>
      <c r="G5" s="1445"/>
    </row>
    <row r="6" spans="1:9" ht="15" customHeight="1" x14ac:dyDescent="0.3">
      <c r="A6" s="1445" t="str">
        <f>DG!C64</f>
        <v>OBIECT 5 - Mansardare Clădire C02</v>
      </c>
      <c r="B6" s="1445"/>
      <c r="C6" s="1445"/>
      <c r="D6" s="1445"/>
      <c r="E6" s="1445"/>
      <c r="F6" s="1445"/>
      <c r="G6" s="1445"/>
    </row>
    <row r="7" spans="1:9" ht="15" customHeight="1" x14ac:dyDescent="0.3">
      <c r="A7" s="359"/>
      <c r="B7" s="362"/>
      <c r="C7" s="357"/>
      <c r="D7" s="358"/>
      <c r="E7" s="358"/>
      <c r="F7" s="359"/>
      <c r="G7" s="359"/>
    </row>
    <row r="8" spans="1:9" ht="38.25" x14ac:dyDescent="0.25">
      <c r="A8" s="1446" t="s">
        <v>1179</v>
      </c>
      <c r="B8" s="1446" t="s">
        <v>1180</v>
      </c>
      <c r="C8" s="1446" t="s">
        <v>1181</v>
      </c>
      <c r="D8" s="1448" t="s">
        <v>1182</v>
      </c>
      <c r="E8" s="606" t="s">
        <v>1183</v>
      </c>
      <c r="F8" s="1446" t="s">
        <v>1184</v>
      </c>
      <c r="G8" s="1446" t="s">
        <v>1185</v>
      </c>
      <c r="I8" s="363"/>
    </row>
    <row r="9" spans="1:9" ht="15" customHeight="1" x14ac:dyDescent="0.25">
      <c r="A9" s="1450"/>
      <c r="B9" s="1450"/>
      <c r="C9" s="1450"/>
      <c r="D9" s="1451"/>
      <c r="E9" s="607" t="s">
        <v>1186</v>
      </c>
      <c r="F9" s="1450"/>
      <c r="G9" s="1450"/>
      <c r="I9" s="363"/>
    </row>
    <row r="10" spans="1:9" ht="15" customHeight="1" x14ac:dyDescent="0.3">
      <c r="A10" s="578">
        <v>1</v>
      </c>
      <c r="B10" s="578">
        <v>2</v>
      </c>
      <c r="C10" s="578">
        <v>3</v>
      </c>
      <c r="D10" s="579">
        <v>4</v>
      </c>
      <c r="E10" s="579">
        <v>5</v>
      </c>
      <c r="F10" s="578">
        <v>7</v>
      </c>
      <c r="G10" s="578">
        <v>6</v>
      </c>
    </row>
    <row r="11" spans="1:9" ht="56.25" customHeight="1" x14ac:dyDescent="0.3">
      <c r="A11" s="366">
        <v>1</v>
      </c>
      <c r="B11" s="535"/>
      <c r="C11" s="531"/>
      <c r="D11" s="531"/>
      <c r="E11" s="395">
        <f>D11*C11</f>
        <v>0</v>
      </c>
      <c r="F11" s="401">
        <f>C11*E11</f>
        <v>0</v>
      </c>
      <c r="G11" s="530"/>
      <c r="H11" s="530"/>
    </row>
    <row r="12" spans="1:9" ht="13.15" x14ac:dyDescent="0.3">
      <c r="A12" s="366">
        <v>2</v>
      </c>
      <c r="B12" s="558"/>
      <c r="C12" s="531"/>
      <c r="D12" s="369"/>
      <c r="E12" s="401">
        <f t="shared" ref="E12" si="0">C12*D12</f>
        <v>0</v>
      </c>
      <c r="F12" s="367"/>
      <c r="G12" s="554"/>
    </row>
    <row r="13" spans="1:9" ht="15" customHeight="1" x14ac:dyDescent="0.3">
      <c r="A13" s="1444" t="s">
        <v>545</v>
      </c>
      <c r="B13" s="1444"/>
      <c r="C13" s="1444"/>
      <c r="D13" s="1444"/>
      <c r="E13" s="370">
        <f>SUM(E11:E12)</f>
        <v>0</v>
      </c>
      <c r="F13" s="1444" t="s">
        <v>1188</v>
      </c>
      <c r="G13" s="1444"/>
    </row>
    <row r="14" spans="1:9" ht="15" customHeight="1" x14ac:dyDescent="0.3">
      <c r="A14" s="359"/>
      <c r="B14" s="371"/>
      <c r="C14" s="372"/>
      <c r="D14" s="358"/>
      <c r="E14" s="358"/>
      <c r="F14" s="359"/>
      <c r="G14" s="359"/>
    </row>
    <row r="15" spans="1:9" ht="15" customHeight="1" x14ac:dyDescent="0.25">
      <c r="A15" s="359"/>
      <c r="B15" s="362"/>
      <c r="C15" s="357"/>
      <c r="D15" s="358"/>
      <c r="E15" s="358"/>
      <c r="F15" s="359"/>
      <c r="G15" s="44" t="s">
        <v>82</v>
      </c>
    </row>
    <row r="16" spans="1:9" ht="15" customHeight="1" x14ac:dyDescent="0.25">
      <c r="A16" s="359"/>
      <c r="B16" s="371"/>
      <c r="C16" s="357"/>
      <c r="D16" s="358"/>
      <c r="E16" s="358"/>
      <c r="F16" s="359"/>
      <c r="G16" s="45"/>
    </row>
    <row r="17" spans="1:7" ht="15" customHeight="1" x14ac:dyDescent="0.25">
      <c r="A17" s="359"/>
      <c r="B17" s="362"/>
      <c r="C17" s="357"/>
      <c r="D17" s="358"/>
      <c r="E17" s="358"/>
      <c r="F17" s="359"/>
      <c r="G17" s="44" t="str">
        <f>'05-DO'!F35</f>
        <v>S.C. SEIRA RAV AUTOMATIC S.R.L.</v>
      </c>
    </row>
    <row r="18" spans="1:7" ht="15" customHeight="1" x14ac:dyDescent="0.25">
      <c r="A18" s="359"/>
      <c r="B18" s="371"/>
      <c r="C18" s="357"/>
      <c r="D18" s="358"/>
      <c r="E18" s="358"/>
      <c r="F18" s="359"/>
      <c r="G18" s="45" t="s">
        <v>83</v>
      </c>
    </row>
    <row r="19" spans="1:7" ht="15" customHeight="1" x14ac:dyDescent="0.25">
      <c r="A19" s="359"/>
      <c r="B19" s="362"/>
      <c r="C19" s="357"/>
      <c r="D19" s="358"/>
      <c r="E19" s="358"/>
      <c r="F19" s="359"/>
      <c r="G19" s="45" t="str">
        <f>'05-DO'!F37</f>
        <v>ZAMFIRESCU Radu</v>
      </c>
    </row>
    <row r="20" spans="1:7" ht="15" customHeight="1" x14ac:dyDescent="0.3">
      <c r="A20" s="359"/>
      <c r="B20" s="371"/>
      <c r="C20" s="357"/>
      <c r="D20" s="358"/>
      <c r="E20" s="358"/>
      <c r="F20" s="359"/>
      <c r="G20" s="359"/>
    </row>
    <row r="21" spans="1:7" ht="15" customHeight="1" x14ac:dyDescent="0.3"/>
    <row r="22" spans="1:7" ht="15" customHeight="1" x14ac:dyDescent="0.3">
      <c r="A22" s="373"/>
      <c r="C22" s="373"/>
      <c r="D22" s="523"/>
      <c r="E22" s="523"/>
      <c r="F22" s="373"/>
      <c r="G22" s="373"/>
    </row>
    <row r="23" spans="1:7" ht="15" customHeight="1" x14ac:dyDescent="0.3">
      <c r="A23" s="373"/>
      <c r="C23" s="373"/>
      <c r="D23" s="523"/>
      <c r="E23" s="523"/>
      <c r="F23" s="373"/>
      <c r="G23" s="373"/>
    </row>
    <row r="24" spans="1:7" ht="15" customHeight="1" x14ac:dyDescent="0.3">
      <c r="A24" s="524"/>
      <c r="C24" s="373"/>
      <c r="D24" s="523"/>
      <c r="E24" s="523"/>
      <c r="F24" s="373"/>
      <c r="G24" s="373"/>
    </row>
    <row r="25" spans="1:7" ht="15" customHeight="1" x14ac:dyDescent="0.3">
      <c r="A25" s="525"/>
      <c r="C25" s="373"/>
      <c r="D25" s="523"/>
      <c r="E25" s="523"/>
      <c r="F25" s="373"/>
      <c r="G25" s="389"/>
    </row>
    <row r="26" spans="1:7" ht="15" customHeight="1" x14ac:dyDescent="0.3">
      <c r="A26" s="527"/>
      <c r="C26" s="373"/>
      <c r="D26" s="523"/>
      <c r="E26" s="523"/>
      <c r="F26" s="373"/>
      <c r="G26" s="373"/>
    </row>
    <row r="27" spans="1:7" ht="15" customHeight="1" x14ac:dyDescent="0.3">
      <c r="A27" s="525"/>
      <c r="C27" s="373"/>
      <c r="D27" s="523"/>
      <c r="E27" s="523"/>
      <c r="F27" s="373"/>
      <c r="G27" s="373"/>
    </row>
    <row r="28" spans="1:7" ht="15" customHeight="1" x14ac:dyDescent="0.3">
      <c r="A28" s="525"/>
      <c r="C28" s="373"/>
      <c r="D28" s="523"/>
      <c r="E28" s="523"/>
      <c r="F28" s="373"/>
      <c r="G28" s="389"/>
    </row>
    <row r="29" spans="1:7" ht="15" customHeight="1" x14ac:dyDescent="0.25">
      <c r="A29" s="525"/>
      <c r="C29" s="373"/>
      <c r="D29" s="523"/>
      <c r="E29" s="523"/>
      <c r="F29" s="373"/>
      <c r="G29" s="373"/>
    </row>
    <row r="30" spans="1:7" ht="15" customHeight="1" x14ac:dyDescent="0.25">
      <c r="A30" s="525"/>
      <c r="C30" s="373"/>
      <c r="D30" s="523"/>
      <c r="E30" s="523"/>
      <c r="F30" s="373"/>
      <c r="G30" s="373"/>
    </row>
    <row r="31" spans="1:7" ht="15" customHeight="1" x14ac:dyDescent="0.25">
      <c r="A31" s="525"/>
      <c r="C31" s="373"/>
      <c r="D31" s="523"/>
      <c r="E31" s="523"/>
      <c r="F31" s="373"/>
      <c r="G31" s="389"/>
    </row>
    <row r="32" spans="1:7" ht="15" customHeight="1" x14ac:dyDescent="0.25">
      <c r="A32" s="525"/>
      <c r="C32" s="373"/>
      <c r="D32" s="523"/>
      <c r="E32" s="523"/>
      <c r="F32" s="373"/>
      <c r="G32" s="373"/>
    </row>
    <row r="33" spans="1:15" ht="15" customHeight="1" x14ac:dyDescent="0.25">
      <c r="A33" s="525"/>
      <c r="C33" s="373"/>
      <c r="D33" s="523"/>
      <c r="E33" s="523"/>
      <c r="F33" s="373"/>
      <c r="G33" s="389"/>
    </row>
    <row r="34" spans="1:15" ht="15" customHeight="1" x14ac:dyDescent="0.25">
      <c r="A34" s="525"/>
      <c r="C34" s="373"/>
      <c r="D34" s="523"/>
      <c r="E34" s="523"/>
      <c r="F34" s="373"/>
      <c r="G34" s="373"/>
    </row>
    <row r="35" spans="1:15" ht="15" customHeight="1" x14ac:dyDescent="0.25">
      <c r="A35" s="525"/>
      <c r="C35" s="373"/>
      <c r="D35" s="523"/>
      <c r="E35" s="523"/>
      <c r="F35" s="373"/>
      <c r="G35" s="389"/>
    </row>
    <row r="36" spans="1:15" ht="15" customHeight="1" x14ac:dyDescent="0.25">
      <c r="A36" s="525"/>
      <c r="C36" s="373"/>
      <c r="D36" s="523"/>
      <c r="E36" s="523"/>
      <c r="F36" s="373"/>
      <c r="G36" s="373"/>
    </row>
    <row r="37" spans="1:15" ht="15" customHeight="1" x14ac:dyDescent="0.25">
      <c r="A37" s="525"/>
      <c r="C37" s="373"/>
      <c r="D37" s="523"/>
      <c r="E37" s="523"/>
      <c r="F37" s="373"/>
      <c r="G37" s="373"/>
    </row>
    <row r="38" spans="1:15" ht="15" customHeight="1" x14ac:dyDescent="0.25">
      <c r="A38" s="525"/>
      <c r="C38" s="373"/>
      <c r="D38" s="523"/>
      <c r="E38" s="523"/>
      <c r="F38" s="373"/>
      <c r="G38" s="389"/>
    </row>
    <row r="39" spans="1:15" ht="15" customHeight="1" x14ac:dyDescent="0.25">
      <c r="A39" s="525"/>
      <c r="C39" s="373"/>
      <c r="D39" s="523"/>
      <c r="E39" s="523"/>
      <c r="F39" s="373"/>
      <c r="G39" s="373"/>
      <c r="H39" s="374"/>
      <c r="I39" s="374"/>
      <c r="J39" s="374"/>
      <c r="K39" s="374"/>
      <c r="L39" s="374"/>
      <c r="M39" s="374"/>
      <c r="N39" s="374"/>
      <c r="O39" s="374"/>
    </row>
    <row r="40" spans="1:15" ht="15" customHeight="1" x14ac:dyDescent="0.25">
      <c r="A40" s="525"/>
      <c r="C40" s="373"/>
      <c r="D40" s="523"/>
      <c r="E40" s="523"/>
      <c r="F40" s="373"/>
      <c r="G40" s="389"/>
      <c r="H40" s="374"/>
      <c r="I40" s="374"/>
      <c r="J40" s="374"/>
      <c r="K40" s="374"/>
      <c r="L40" s="374"/>
      <c r="M40" s="374"/>
      <c r="N40" s="374"/>
      <c r="O40" s="374"/>
    </row>
    <row r="41" spans="1:15" ht="15" customHeight="1" x14ac:dyDescent="0.25">
      <c r="A41" s="525"/>
      <c r="C41" s="373"/>
      <c r="D41" s="523"/>
      <c r="E41" s="523"/>
      <c r="F41" s="373"/>
      <c r="G41" s="373"/>
      <c r="H41" s="374"/>
      <c r="I41" s="374"/>
      <c r="J41" s="374"/>
      <c r="K41" s="374"/>
      <c r="L41" s="374"/>
      <c r="M41" s="374"/>
      <c r="N41" s="374"/>
      <c r="O41" s="374"/>
    </row>
    <row r="42" spans="1:15" ht="15" customHeight="1" x14ac:dyDescent="0.25">
      <c r="A42" s="525"/>
      <c r="C42" s="373"/>
      <c r="D42" s="523"/>
      <c r="E42" s="523"/>
      <c r="F42" s="373"/>
      <c r="G42" s="373"/>
      <c r="H42" s="374"/>
      <c r="I42" s="374"/>
      <c r="J42" s="374"/>
      <c r="K42" s="374"/>
      <c r="L42" s="374"/>
      <c r="M42" s="374"/>
      <c r="N42" s="374"/>
      <c r="O42" s="374"/>
    </row>
    <row r="43" spans="1:15" ht="15" customHeight="1" x14ac:dyDescent="0.25">
      <c r="A43" s="525"/>
      <c r="C43" s="373"/>
      <c r="D43" s="523"/>
      <c r="E43" s="523"/>
      <c r="F43" s="373"/>
      <c r="G43" s="389"/>
      <c r="H43" s="374"/>
      <c r="I43" s="374"/>
      <c r="J43" s="374"/>
      <c r="K43" s="374"/>
      <c r="L43" s="374"/>
      <c r="M43" s="374"/>
      <c r="N43" s="374"/>
      <c r="O43" s="374"/>
    </row>
    <row r="44" spans="1:15" ht="15" customHeight="1" x14ac:dyDescent="0.25">
      <c r="A44" s="525"/>
      <c r="B44" s="526"/>
      <c r="C44" s="373"/>
      <c r="D44" s="523"/>
      <c r="E44" s="523"/>
      <c r="F44" s="373"/>
      <c r="G44" s="389"/>
      <c r="H44" s="374"/>
      <c r="I44" s="374"/>
      <c r="J44" s="374"/>
      <c r="K44" s="374"/>
      <c r="L44" s="374"/>
      <c r="M44" s="374"/>
      <c r="N44" s="374"/>
      <c r="O44" s="374"/>
    </row>
    <row r="45" spans="1:15" ht="15" customHeight="1" x14ac:dyDescent="0.25">
      <c r="A45" s="525"/>
      <c r="C45" s="373"/>
      <c r="D45" s="523"/>
      <c r="E45" s="523"/>
      <c r="F45" s="373"/>
      <c r="G45" s="389"/>
      <c r="H45" s="374"/>
      <c r="I45" s="374"/>
      <c r="J45" s="374"/>
      <c r="K45" s="374"/>
      <c r="L45" s="374"/>
      <c r="M45" s="374"/>
      <c r="N45" s="374"/>
      <c r="O45" s="374"/>
    </row>
    <row r="46" spans="1:15" ht="15" customHeight="1" x14ac:dyDescent="0.25">
      <c r="A46" s="525"/>
      <c r="C46" s="373"/>
      <c r="D46" s="523"/>
      <c r="E46" s="523"/>
      <c r="F46" s="373"/>
      <c r="G46" s="389"/>
      <c r="H46" s="374"/>
      <c r="I46" s="374"/>
      <c r="J46" s="374"/>
      <c r="K46" s="374"/>
      <c r="L46" s="374"/>
      <c r="M46" s="374"/>
      <c r="N46" s="374"/>
      <c r="O46" s="374"/>
    </row>
    <row r="47" spans="1:15" ht="15" customHeight="1" x14ac:dyDescent="0.25">
      <c r="A47" s="525"/>
      <c r="C47" s="373"/>
      <c r="D47" s="523"/>
      <c r="E47" s="523"/>
      <c r="F47" s="373"/>
      <c r="G47" s="389"/>
      <c r="H47" s="374"/>
      <c r="I47" s="374"/>
      <c r="J47" s="374"/>
      <c r="K47" s="374"/>
      <c r="L47" s="374"/>
      <c r="M47" s="374"/>
      <c r="N47" s="374"/>
      <c r="O47" s="374"/>
    </row>
    <row r="48" spans="1:15" ht="15" customHeight="1" x14ac:dyDescent="0.25">
      <c r="A48" s="525"/>
      <c r="C48" s="373"/>
      <c r="D48" s="523"/>
      <c r="E48" s="523"/>
      <c r="F48" s="373"/>
      <c r="G48" s="389"/>
      <c r="H48" s="374"/>
      <c r="I48" s="374"/>
      <c r="J48" s="374"/>
      <c r="K48" s="374"/>
      <c r="L48" s="374"/>
      <c r="M48" s="374"/>
      <c r="N48" s="374"/>
      <c r="O48" s="374"/>
    </row>
    <row r="49" spans="1:15" ht="15" customHeight="1" x14ac:dyDescent="0.25">
      <c r="A49" s="525"/>
      <c r="C49" s="373"/>
      <c r="D49" s="523"/>
      <c r="E49" s="523"/>
      <c r="F49" s="373"/>
      <c r="G49" s="389"/>
      <c r="H49" s="374"/>
      <c r="I49" s="374"/>
      <c r="J49" s="374"/>
      <c r="K49" s="374"/>
      <c r="L49" s="374"/>
      <c r="M49" s="374"/>
      <c r="N49" s="374"/>
      <c r="O49" s="374"/>
    </row>
    <row r="50" spans="1:15" ht="15" customHeight="1" x14ac:dyDescent="0.25">
      <c r="A50" s="525"/>
      <c r="C50" s="373"/>
      <c r="D50" s="523"/>
      <c r="E50" s="523"/>
      <c r="F50" s="373"/>
      <c r="G50" s="389"/>
      <c r="H50" s="374"/>
      <c r="I50" s="374"/>
      <c r="J50" s="374"/>
      <c r="K50" s="374"/>
      <c r="L50" s="374"/>
      <c r="M50" s="374"/>
      <c r="N50" s="374"/>
      <c r="O50" s="374"/>
    </row>
    <row r="51" spans="1:15" ht="15" customHeight="1" x14ac:dyDescent="0.25">
      <c r="A51" s="376"/>
      <c r="B51" s="360"/>
      <c r="D51" s="380"/>
      <c r="E51" s="380"/>
      <c r="F51" s="374"/>
      <c r="G51" s="374"/>
      <c r="H51" s="374"/>
      <c r="I51" s="374"/>
      <c r="J51" s="374"/>
      <c r="K51" s="374"/>
      <c r="L51" s="374"/>
      <c r="M51" s="374"/>
      <c r="N51" s="374"/>
      <c r="O51" s="374"/>
    </row>
    <row r="52" spans="1:15" ht="15" customHeight="1" x14ac:dyDescent="0.25">
      <c r="A52" s="376"/>
      <c r="B52" s="360"/>
      <c r="D52" s="380"/>
      <c r="E52" s="380"/>
      <c r="F52" s="374"/>
      <c r="G52" s="374"/>
      <c r="H52" s="374"/>
      <c r="I52" s="374"/>
      <c r="J52" s="374"/>
      <c r="K52" s="374"/>
      <c r="L52" s="374"/>
      <c r="M52" s="374"/>
      <c r="N52" s="374"/>
      <c r="O52" s="374"/>
    </row>
    <row r="53" spans="1:15" ht="15" customHeight="1" x14ac:dyDescent="0.25">
      <c r="B53" s="360"/>
      <c r="D53" s="380"/>
      <c r="E53" s="380"/>
      <c r="F53" s="374"/>
      <c r="G53" s="374"/>
      <c r="H53" s="374"/>
      <c r="I53" s="374"/>
      <c r="J53" s="374"/>
      <c r="K53" s="374"/>
      <c r="L53" s="374"/>
      <c r="M53" s="374"/>
      <c r="N53" s="374"/>
      <c r="O53" s="374"/>
    </row>
    <row r="54" spans="1:15" ht="15" customHeight="1" x14ac:dyDescent="0.25">
      <c r="B54" s="360"/>
      <c r="D54" s="380"/>
      <c r="E54" s="380"/>
      <c r="F54" s="374"/>
      <c r="G54" s="374"/>
      <c r="H54" s="374"/>
      <c r="I54" s="374"/>
      <c r="J54" s="374"/>
      <c r="K54" s="374"/>
      <c r="L54" s="374"/>
      <c r="M54" s="374"/>
      <c r="N54" s="374"/>
      <c r="O54" s="374"/>
    </row>
    <row r="55" spans="1:15" ht="15" customHeight="1" x14ac:dyDescent="0.25">
      <c r="A55" s="376"/>
      <c r="B55" s="360"/>
      <c r="D55" s="380"/>
      <c r="E55" s="380"/>
      <c r="F55" s="374"/>
      <c r="G55" s="374"/>
      <c r="H55" s="374"/>
      <c r="I55" s="374"/>
      <c r="J55" s="374"/>
      <c r="K55" s="374"/>
      <c r="L55" s="374"/>
      <c r="M55" s="374"/>
      <c r="N55" s="374"/>
      <c r="O55" s="374"/>
    </row>
    <row r="56" spans="1:15" ht="15" customHeight="1" x14ac:dyDescent="0.25">
      <c r="A56" s="376"/>
      <c r="B56" s="360"/>
      <c r="D56" s="380"/>
      <c r="E56" s="380"/>
      <c r="F56" s="374"/>
      <c r="G56" s="374"/>
      <c r="H56" s="374"/>
      <c r="I56" s="374"/>
      <c r="J56" s="374"/>
      <c r="K56" s="374"/>
      <c r="L56" s="374"/>
      <c r="M56" s="374"/>
      <c r="N56" s="374"/>
      <c r="O56" s="374"/>
    </row>
    <row r="57" spans="1:15" ht="15" customHeight="1" x14ac:dyDescent="0.25">
      <c r="A57" s="376"/>
      <c r="B57" s="360"/>
      <c r="D57" s="380"/>
      <c r="E57" s="380"/>
      <c r="F57" s="374"/>
      <c r="G57" s="374"/>
      <c r="H57" s="374"/>
      <c r="I57" s="374"/>
      <c r="J57" s="374"/>
      <c r="K57" s="374"/>
      <c r="L57" s="374"/>
      <c r="M57" s="374"/>
      <c r="N57" s="374"/>
      <c r="O57" s="374"/>
    </row>
    <row r="58" spans="1:15" ht="15" customHeight="1" x14ac:dyDescent="0.25">
      <c r="A58" s="376"/>
      <c r="B58" s="360"/>
      <c r="D58" s="380"/>
      <c r="E58" s="380"/>
      <c r="F58" s="374"/>
      <c r="G58" s="374"/>
      <c r="H58" s="374"/>
      <c r="I58" s="374"/>
      <c r="J58" s="374"/>
      <c r="K58" s="374"/>
      <c r="L58" s="374"/>
      <c r="M58" s="374"/>
      <c r="N58" s="374"/>
      <c r="O58" s="374"/>
    </row>
    <row r="59" spans="1:15" ht="15" customHeight="1" x14ac:dyDescent="0.25">
      <c r="A59" s="376"/>
      <c r="B59" s="360"/>
      <c r="D59" s="380"/>
      <c r="E59" s="380"/>
      <c r="F59" s="374"/>
      <c r="G59" s="374"/>
      <c r="H59" s="374"/>
      <c r="I59" s="374"/>
      <c r="J59" s="374"/>
      <c r="K59" s="374"/>
      <c r="L59" s="374"/>
      <c r="M59" s="374"/>
      <c r="N59" s="374"/>
      <c r="O59" s="374"/>
    </row>
    <row r="60" spans="1:15" ht="15" customHeight="1" x14ac:dyDescent="0.25">
      <c r="A60" s="376"/>
      <c r="B60" s="360"/>
      <c r="D60" s="380"/>
      <c r="E60" s="380"/>
      <c r="F60" s="374"/>
      <c r="G60" s="374"/>
      <c r="H60" s="374"/>
      <c r="I60" s="374"/>
      <c r="J60" s="374"/>
      <c r="K60" s="374"/>
      <c r="L60" s="374"/>
      <c r="M60" s="374"/>
      <c r="N60" s="374"/>
      <c r="O60" s="374"/>
    </row>
    <row r="61" spans="1:15" ht="15" customHeight="1" x14ac:dyDescent="0.25">
      <c r="A61" s="376"/>
      <c r="D61" s="380"/>
      <c r="E61" s="380"/>
      <c r="F61" s="374"/>
      <c r="G61" s="374"/>
      <c r="H61" s="374"/>
      <c r="I61" s="374"/>
      <c r="J61" s="374"/>
      <c r="K61" s="374"/>
      <c r="L61" s="374"/>
      <c r="M61" s="374"/>
      <c r="N61" s="374"/>
      <c r="O61" s="374"/>
    </row>
    <row r="62" spans="1:15" ht="15" customHeight="1" x14ac:dyDescent="0.25">
      <c r="A62" s="376"/>
      <c r="D62" s="380"/>
      <c r="E62" s="380"/>
      <c r="F62" s="374"/>
      <c r="G62" s="374"/>
      <c r="H62" s="374"/>
      <c r="I62" s="374"/>
      <c r="J62" s="374"/>
      <c r="K62" s="374"/>
      <c r="L62" s="374"/>
      <c r="M62" s="374"/>
      <c r="N62" s="374"/>
      <c r="O62" s="374"/>
    </row>
    <row r="63" spans="1:15" ht="15" customHeight="1" x14ac:dyDescent="0.25">
      <c r="A63" s="376"/>
      <c r="B63" s="360"/>
      <c r="D63" s="380"/>
      <c r="E63" s="380"/>
      <c r="F63" s="374"/>
      <c r="G63" s="374"/>
      <c r="H63" s="374"/>
      <c r="I63" s="374"/>
      <c r="J63" s="374"/>
      <c r="K63" s="374"/>
      <c r="L63" s="374"/>
      <c r="M63" s="374"/>
      <c r="N63" s="374"/>
      <c r="O63" s="374"/>
    </row>
    <row r="64" spans="1:15" ht="15" customHeight="1" x14ac:dyDescent="0.25">
      <c r="A64" s="376"/>
      <c r="D64" s="380"/>
      <c r="E64" s="380"/>
      <c r="F64" s="374"/>
      <c r="G64" s="374"/>
      <c r="H64" s="374"/>
      <c r="I64" s="374"/>
      <c r="J64" s="374"/>
      <c r="K64" s="374"/>
      <c r="L64" s="374"/>
      <c r="M64" s="374"/>
      <c r="N64" s="374"/>
      <c r="O64" s="374"/>
    </row>
    <row r="65" spans="1:15" ht="15" customHeight="1" x14ac:dyDescent="0.25">
      <c r="A65" s="376"/>
      <c r="D65" s="380"/>
      <c r="E65" s="380"/>
      <c r="F65" s="374"/>
      <c r="G65" s="374"/>
      <c r="H65" s="374"/>
      <c r="I65" s="374"/>
      <c r="J65" s="374"/>
      <c r="K65" s="374"/>
      <c r="L65" s="374"/>
      <c r="M65" s="374"/>
      <c r="N65" s="374"/>
      <c r="O65" s="374"/>
    </row>
    <row r="66" spans="1:15" ht="15" customHeight="1" x14ac:dyDescent="0.25">
      <c r="A66" s="376"/>
      <c r="D66" s="380"/>
      <c r="E66" s="380"/>
      <c r="F66" s="374"/>
      <c r="G66" s="374"/>
      <c r="H66" s="374"/>
      <c r="I66" s="374"/>
      <c r="J66" s="374"/>
      <c r="K66" s="374"/>
      <c r="L66" s="374"/>
      <c r="M66" s="374"/>
      <c r="N66" s="374"/>
      <c r="O66" s="374"/>
    </row>
    <row r="67" spans="1:15" ht="15" customHeight="1" x14ac:dyDescent="0.25">
      <c r="A67" s="376"/>
      <c r="D67" s="380"/>
      <c r="E67" s="380"/>
      <c r="F67" s="374"/>
      <c r="G67" s="374"/>
      <c r="H67" s="374"/>
      <c r="I67" s="374"/>
      <c r="J67" s="374"/>
      <c r="K67" s="374"/>
      <c r="L67" s="374"/>
      <c r="M67" s="374"/>
      <c r="N67" s="374"/>
      <c r="O67" s="374"/>
    </row>
    <row r="68" spans="1:15" ht="15" customHeight="1" x14ac:dyDescent="0.25">
      <c r="A68" s="376"/>
      <c r="D68" s="380"/>
      <c r="E68" s="380"/>
      <c r="F68" s="374"/>
      <c r="G68" s="374"/>
      <c r="H68" s="374"/>
      <c r="I68" s="374"/>
      <c r="J68" s="374"/>
      <c r="K68" s="374"/>
      <c r="L68" s="374"/>
      <c r="M68" s="374"/>
      <c r="N68" s="374"/>
      <c r="O68" s="374"/>
    </row>
    <row r="69" spans="1:15" ht="15" customHeight="1" x14ac:dyDescent="0.25">
      <c r="A69" s="376"/>
      <c r="D69" s="380"/>
      <c r="E69" s="380"/>
      <c r="F69" s="374"/>
      <c r="G69" s="374"/>
      <c r="H69" s="374"/>
      <c r="I69" s="374"/>
      <c r="J69" s="374"/>
      <c r="K69" s="374"/>
      <c r="L69" s="374"/>
      <c r="M69" s="374"/>
      <c r="N69" s="374"/>
      <c r="O69" s="374"/>
    </row>
    <row r="70" spans="1:15" ht="15" customHeight="1" x14ac:dyDescent="0.25">
      <c r="A70" s="376"/>
      <c r="D70" s="380"/>
      <c r="E70" s="380"/>
      <c r="F70" s="374"/>
      <c r="G70" s="374"/>
      <c r="H70" s="374"/>
      <c r="I70" s="374"/>
      <c r="J70" s="374"/>
      <c r="K70" s="374"/>
      <c r="L70" s="374"/>
      <c r="M70" s="374"/>
      <c r="N70" s="374"/>
      <c r="O70" s="374"/>
    </row>
    <row r="71" spans="1:15" ht="15" customHeight="1" x14ac:dyDescent="0.25">
      <c r="B71" s="360"/>
      <c r="D71" s="380"/>
      <c r="E71" s="380"/>
      <c r="F71" s="374"/>
      <c r="G71" s="374"/>
      <c r="H71" s="374"/>
      <c r="I71" s="374"/>
      <c r="J71" s="374"/>
      <c r="K71" s="374"/>
      <c r="L71" s="374"/>
      <c r="M71" s="374"/>
      <c r="N71" s="374"/>
      <c r="O71" s="374"/>
    </row>
    <row r="72" spans="1:15" ht="15" customHeight="1" x14ac:dyDescent="0.25">
      <c r="B72" s="360"/>
      <c r="D72" s="380"/>
      <c r="E72" s="380"/>
      <c r="F72" s="374"/>
      <c r="G72" s="374"/>
      <c r="H72" s="374"/>
      <c r="I72" s="374"/>
      <c r="J72" s="374"/>
      <c r="K72" s="374"/>
      <c r="L72" s="374"/>
      <c r="M72" s="374"/>
      <c r="N72" s="374"/>
      <c r="O72" s="374"/>
    </row>
    <row r="73" spans="1:15" ht="15" customHeight="1" x14ac:dyDescent="0.25">
      <c r="B73" s="360"/>
      <c r="D73" s="380"/>
      <c r="E73" s="380"/>
      <c r="F73" s="374"/>
      <c r="G73" s="374"/>
      <c r="H73" s="374"/>
      <c r="I73" s="374"/>
      <c r="J73" s="374"/>
      <c r="K73" s="374"/>
      <c r="L73" s="374"/>
      <c r="M73" s="374"/>
      <c r="N73" s="374"/>
      <c r="O73" s="374"/>
    </row>
    <row r="74" spans="1:15" ht="15" customHeight="1" x14ac:dyDescent="0.25">
      <c r="A74" s="376"/>
      <c r="B74" s="360"/>
      <c r="D74" s="380"/>
      <c r="E74" s="380"/>
      <c r="F74" s="374"/>
      <c r="G74" s="374"/>
      <c r="H74" s="374"/>
      <c r="I74" s="374"/>
      <c r="J74" s="374"/>
      <c r="K74" s="374"/>
      <c r="L74" s="374"/>
      <c r="M74" s="374"/>
      <c r="N74" s="374"/>
      <c r="O74" s="374"/>
    </row>
    <row r="75" spans="1:15" ht="15" customHeight="1" x14ac:dyDescent="0.25">
      <c r="A75" s="376"/>
      <c r="B75" s="360"/>
      <c r="D75" s="380"/>
      <c r="E75" s="380"/>
      <c r="F75" s="374"/>
      <c r="G75" s="374"/>
      <c r="H75" s="374"/>
      <c r="I75" s="374"/>
      <c r="J75" s="374"/>
      <c r="K75" s="374"/>
      <c r="L75" s="374"/>
      <c r="M75" s="374"/>
      <c r="N75" s="374"/>
      <c r="O75" s="374"/>
    </row>
    <row r="76" spans="1:15" ht="15" customHeight="1" x14ac:dyDescent="0.25">
      <c r="A76" s="376"/>
      <c r="B76" s="360"/>
      <c r="D76" s="380"/>
      <c r="E76" s="380"/>
      <c r="F76" s="374"/>
      <c r="G76" s="374"/>
      <c r="H76" s="374"/>
      <c r="I76" s="374"/>
      <c r="J76" s="374"/>
      <c r="K76" s="374"/>
      <c r="L76" s="374"/>
      <c r="M76" s="374"/>
      <c r="N76" s="374"/>
      <c r="O76" s="374"/>
    </row>
    <row r="77" spans="1:15" ht="15" customHeight="1" x14ac:dyDescent="0.25">
      <c r="A77" s="376"/>
      <c r="B77" s="360"/>
      <c r="D77" s="380"/>
      <c r="E77" s="380"/>
      <c r="F77" s="374"/>
      <c r="G77" s="374"/>
      <c r="H77" s="374"/>
      <c r="I77" s="374"/>
      <c r="J77" s="374"/>
      <c r="K77" s="374"/>
      <c r="L77" s="374"/>
      <c r="M77" s="374"/>
      <c r="N77" s="374"/>
      <c r="O77" s="374"/>
    </row>
    <row r="78" spans="1:15" ht="15" customHeight="1" x14ac:dyDescent="0.25">
      <c r="A78" s="376"/>
      <c r="B78" s="360"/>
      <c r="D78" s="380"/>
      <c r="E78" s="380"/>
      <c r="F78" s="374"/>
      <c r="G78" s="374"/>
      <c r="H78" s="374"/>
      <c r="I78" s="374"/>
      <c r="J78" s="374"/>
      <c r="K78" s="374"/>
      <c r="L78" s="374"/>
      <c r="M78" s="374"/>
      <c r="N78" s="374"/>
      <c r="O78" s="374"/>
    </row>
    <row r="79" spans="1:15" ht="15" customHeight="1" x14ac:dyDescent="0.25">
      <c r="A79" s="376"/>
      <c r="B79" s="360"/>
      <c r="D79" s="380"/>
      <c r="E79" s="380"/>
      <c r="F79" s="374"/>
      <c r="G79" s="374"/>
      <c r="H79" s="374"/>
      <c r="I79" s="374"/>
      <c r="J79" s="374"/>
      <c r="K79" s="374"/>
      <c r="L79" s="374"/>
      <c r="M79" s="374"/>
      <c r="N79" s="374"/>
      <c r="O79" s="374"/>
    </row>
    <row r="80" spans="1:15" ht="15" customHeight="1" x14ac:dyDescent="0.25">
      <c r="A80" s="376"/>
      <c r="B80" s="360"/>
      <c r="D80" s="380"/>
      <c r="E80" s="380"/>
      <c r="F80" s="374"/>
      <c r="G80" s="374"/>
      <c r="H80" s="374"/>
      <c r="I80" s="374"/>
      <c r="J80" s="374"/>
      <c r="K80" s="374"/>
      <c r="L80" s="374"/>
      <c r="M80" s="374"/>
      <c r="N80" s="374"/>
      <c r="O80" s="374"/>
    </row>
    <row r="81" spans="1:16" ht="15" customHeight="1" x14ac:dyDescent="0.25">
      <c r="A81" s="376"/>
      <c r="B81" s="360"/>
      <c r="D81" s="380"/>
      <c r="E81" s="380"/>
      <c r="F81" s="374"/>
      <c r="G81" s="374"/>
      <c r="H81" s="374"/>
      <c r="I81" s="374"/>
      <c r="J81" s="374"/>
      <c r="K81" s="374"/>
      <c r="L81" s="374"/>
      <c r="M81" s="374"/>
      <c r="N81" s="374"/>
      <c r="O81" s="374"/>
    </row>
    <row r="82" spans="1:16" ht="15" customHeight="1" x14ac:dyDescent="0.25">
      <c r="B82" s="360"/>
      <c r="D82" s="380"/>
      <c r="E82" s="380"/>
      <c r="F82" s="374"/>
      <c r="G82" s="374"/>
      <c r="H82" s="374"/>
      <c r="I82" s="374"/>
      <c r="J82" s="374"/>
      <c r="K82" s="374"/>
      <c r="L82" s="374"/>
      <c r="M82" s="374"/>
      <c r="N82" s="374"/>
      <c r="O82" s="374"/>
    </row>
    <row r="83" spans="1:16" ht="15" customHeight="1" x14ac:dyDescent="0.25">
      <c r="C83" s="381"/>
      <c r="D83" s="382"/>
    </row>
    <row r="84" spans="1:16" s="375" customFormat="1" ht="15" customHeight="1" x14ac:dyDescent="0.25">
      <c r="A84" s="376"/>
      <c r="B84" s="373"/>
      <c r="C84" s="381"/>
      <c r="D84" s="382"/>
      <c r="F84" s="360"/>
      <c r="G84" s="360"/>
      <c r="H84" s="360"/>
      <c r="I84" s="360"/>
      <c r="J84" s="360"/>
      <c r="K84" s="360"/>
      <c r="L84" s="360"/>
      <c r="M84" s="360"/>
      <c r="N84" s="360"/>
      <c r="O84" s="360"/>
      <c r="P84" s="360"/>
    </row>
    <row r="85" spans="1:16" s="375" customFormat="1" ht="15" customHeight="1" x14ac:dyDescent="0.25">
      <c r="A85" s="376"/>
      <c r="B85" s="373"/>
      <c r="C85" s="381"/>
      <c r="D85" s="382"/>
      <c r="F85" s="360"/>
      <c r="G85" s="360"/>
      <c r="H85" s="360"/>
      <c r="I85" s="360"/>
      <c r="J85" s="360"/>
      <c r="K85" s="360"/>
      <c r="L85" s="360"/>
      <c r="M85" s="360"/>
      <c r="N85" s="360"/>
      <c r="O85" s="360"/>
      <c r="P85" s="360"/>
    </row>
    <row r="86" spans="1:16" s="375" customFormat="1" ht="15" customHeight="1" x14ac:dyDescent="0.25">
      <c r="A86" s="376"/>
      <c r="B86" s="373"/>
      <c r="C86" s="381"/>
      <c r="D86" s="382"/>
      <c r="F86" s="360"/>
      <c r="G86" s="360"/>
      <c r="H86" s="360"/>
      <c r="I86" s="360"/>
      <c r="J86" s="360"/>
      <c r="K86" s="360"/>
      <c r="L86" s="360"/>
      <c r="M86" s="360"/>
      <c r="N86" s="360"/>
      <c r="O86" s="360"/>
      <c r="P86" s="360"/>
    </row>
    <row r="87" spans="1:16" s="375" customFormat="1" ht="15" customHeight="1" x14ac:dyDescent="0.25">
      <c r="A87" s="376"/>
      <c r="B87" s="360"/>
      <c r="C87" s="381"/>
      <c r="D87" s="382"/>
      <c r="F87" s="360"/>
      <c r="G87" s="360"/>
      <c r="H87" s="360"/>
      <c r="I87" s="360"/>
      <c r="J87" s="360"/>
      <c r="K87" s="360"/>
      <c r="L87" s="360"/>
      <c r="M87" s="360"/>
      <c r="N87" s="360"/>
      <c r="O87" s="360"/>
      <c r="P87" s="360"/>
    </row>
    <row r="88" spans="1:16" s="375" customFormat="1" ht="15" customHeight="1" x14ac:dyDescent="0.25">
      <c r="A88" s="376"/>
      <c r="B88" s="360"/>
      <c r="C88" s="381"/>
      <c r="D88" s="382"/>
      <c r="F88" s="360"/>
      <c r="G88" s="360"/>
      <c r="H88" s="360"/>
      <c r="I88" s="360"/>
      <c r="J88" s="360"/>
      <c r="K88" s="360"/>
      <c r="L88" s="360"/>
      <c r="M88" s="360"/>
      <c r="N88" s="360"/>
      <c r="O88" s="360"/>
      <c r="P88" s="360"/>
    </row>
    <row r="89" spans="1:16" s="375" customFormat="1" ht="15" customHeight="1" x14ac:dyDescent="0.25">
      <c r="A89" s="376"/>
      <c r="B89" s="360"/>
      <c r="C89" s="381"/>
      <c r="D89" s="382"/>
      <c r="F89" s="360"/>
      <c r="G89" s="360"/>
      <c r="H89" s="360"/>
      <c r="I89" s="360"/>
      <c r="J89" s="360"/>
      <c r="K89" s="360"/>
      <c r="L89" s="360"/>
      <c r="M89" s="360"/>
      <c r="N89" s="360"/>
      <c r="O89" s="360"/>
      <c r="P89" s="360"/>
    </row>
    <row r="90" spans="1:16" s="375" customFormat="1" ht="15" customHeight="1" x14ac:dyDescent="0.25">
      <c r="A90" s="376"/>
      <c r="B90" s="373"/>
      <c r="C90" s="374"/>
      <c r="D90" s="382"/>
      <c r="F90" s="360"/>
      <c r="G90" s="360"/>
      <c r="H90" s="360"/>
      <c r="I90" s="360"/>
      <c r="J90" s="360"/>
      <c r="K90" s="360"/>
      <c r="L90" s="360"/>
      <c r="M90" s="360"/>
      <c r="N90" s="360"/>
      <c r="O90" s="360"/>
      <c r="P90" s="360"/>
    </row>
    <row r="91" spans="1:16" s="375" customFormat="1" ht="15" customHeight="1" x14ac:dyDescent="0.25">
      <c r="A91" s="376"/>
      <c r="B91" s="373"/>
      <c r="C91" s="374"/>
      <c r="D91" s="382"/>
      <c r="F91" s="360"/>
      <c r="G91" s="360"/>
      <c r="H91" s="360"/>
      <c r="I91" s="360"/>
      <c r="J91" s="360"/>
      <c r="K91" s="360"/>
      <c r="L91" s="360"/>
      <c r="M91" s="360"/>
      <c r="N91" s="360"/>
      <c r="O91" s="360"/>
      <c r="P91" s="360"/>
    </row>
    <row r="92" spans="1:16" s="375" customFormat="1" ht="15" customHeight="1" x14ac:dyDescent="0.25">
      <c r="A92" s="376"/>
      <c r="B92" s="373"/>
      <c r="C92" s="381"/>
      <c r="D92" s="382"/>
      <c r="F92" s="360"/>
      <c r="G92" s="360"/>
      <c r="H92" s="360"/>
      <c r="I92" s="360"/>
      <c r="J92" s="360"/>
      <c r="K92" s="360"/>
      <c r="L92" s="360"/>
      <c r="M92" s="360"/>
      <c r="N92" s="360"/>
      <c r="O92" s="360"/>
      <c r="P92" s="360"/>
    </row>
    <row r="93" spans="1:16" s="375" customFormat="1" ht="15" customHeight="1" x14ac:dyDescent="0.25">
      <c r="A93" s="376"/>
      <c r="B93" s="360"/>
      <c r="C93" s="381"/>
      <c r="D93" s="382"/>
      <c r="F93" s="360"/>
      <c r="G93" s="360"/>
      <c r="H93" s="360"/>
      <c r="I93" s="360"/>
      <c r="J93" s="360"/>
      <c r="K93" s="360"/>
      <c r="L93" s="360"/>
      <c r="M93" s="360"/>
      <c r="N93" s="360"/>
      <c r="O93" s="360"/>
      <c r="P93" s="360"/>
    </row>
    <row r="94" spans="1:16" s="375" customFormat="1" ht="15" customHeight="1" x14ac:dyDescent="0.25">
      <c r="A94" s="376"/>
      <c r="B94" s="373"/>
      <c r="C94" s="381"/>
      <c r="D94" s="382"/>
      <c r="F94" s="360"/>
      <c r="G94" s="360"/>
      <c r="H94" s="360"/>
      <c r="I94" s="360"/>
      <c r="J94" s="360"/>
      <c r="K94" s="360"/>
      <c r="L94" s="360"/>
      <c r="M94" s="360"/>
      <c r="N94" s="360"/>
      <c r="O94" s="360"/>
      <c r="P94" s="360"/>
    </row>
    <row r="95" spans="1:16" s="375" customFormat="1" ht="15" customHeight="1" x14ac:dyDescent="0.25">
      <c r="A95" s="376"/>
      <c r="B95" s="360"/>
      <c r="C95" s="381"/>
      <c r="D95" s="382"/>
      <c r="F95" s="360"/>
      <c r="G95" s="360"/>
      <c r="H95" s="360"/>
      <c r="I95" s="360"/>
      <c r="J95" s="360"/>
      <c r="K95" s="360"/>
      <c r="L95" s="360"/>
      <c r="M95" s="360"/>
      <c r="N95" s="360"/>
      <c r="O95" s="360"/>
      <c r="P95" s="360"/>
    </row>
    <row r="96" spans="1:16" s="375" customFormat="1" ht="15" customHeight="1" x14ac:dyDescent="0.25">
      <c r="A96" s="376"/>
      <c r="B96" s="373"/>
      <c r="C96" s="381"/>
      <c r="D96" s="382"/>
      <c r="F96" s="360"/>
      <c r="G96" s="360"/>
      <c r="H96" s="360"/>
      <c r="I96" s="360"/>
      <c r="J96" s="360"/>
      <c r="K96" s="360"/>
      <c r="L96" s="360"/>
      <c r="M96" s="360"/>
      <c r="N96" s="360"/>
      <c r="O96" s="360"/>
      <c r="P96" s="360"/>
    </row>
    <row r="97" spans="1:16" s="375" customFormat="1" ht="15" customHeight="1" x14ac:dyDescent="0.25">
      <c r="A97" s="376"/>
      <c r="B97" s="373"/>
      <c r="C97" s="381"/>
      <c r="D97" s="382"/>
      <c r="F97" s="360"/>
      <c r="G97" s="360"/>
      <c r="H97" s="360"/>
      <c r="I97" s="360"/>
      <c r="J97" s="360"/>
      <c r="K97" s="360"/>
      <c r="L97" s="360"/>
      <c r="M97" s="360"/>
      <c r="N97" s="360"/>
      <c r="O97" s="360"/>
      <c r="P97" s="360"/>
    </row>
    <row r="98" spans="1:16" s="375" customFormat="1" ht="15" customHeight="1" x14ac:dyDescent="0.25">
      <c r="A98" s="360"/>
      <c r="B98" s="373"/>
      <c r="C98" s="381"/>
      <c r="D98" s="382"/>
      <c r="F98" s="360"/>
      <c r="G98" s="360"/>
      <c r="H98" s="360"/>
      <c r="I98" s="360"/>
      <c r="J98" s="360"/>
      <c r="K98" s="360"/>
      <c r="L98" s="360"/>
      <c r="M98" s="360"/>
      <c r="N98" s="360"/>
      <c r="O98" s="360"/>
      <c r="P98" s="360"/>
    </row>
    <row r="99" spans="1:16" s="375" customFormat="1" ht="15" customHeight="1" x14ac:dyDescent="0.25">
      <c r="A99" s="360"/>
      <c r="B99" s="373"/>
      <c r="C99" s="381"/>
      <c r="D99" s="382"/>
      <c r="F99" s="360"/>
      <c r="G99" s="360"/>
      <c r="H99" s="360"/>
      <c r="I99" s="360"/>
      <c r="J99" s="360"/>
      <c r="K99" s="360"/>
      <c r="L99" s="360"/>
      <c r="M99" s="360"/>
      <c r="N99" s="360"/>
      <c r="O99" s="360"/>
      <c r="P99" s="360"/>
    </row>
    <row r="100" spans="1:16" ht="15" customHeight="1" x14ac:dyDescent="0.25">
      <c r="C100" s="381"/>
      <c r="D100" s="382"/>
    </row>
    <row r="101" spans="1:16" ht="15" customHeight="1" x14ac:dyDescent="0.25">
      <c r="C101" s="381"/>
      <c r="D101" s="382"/>
    </row>
    <row r="102" spans="1:16" ht="15" customHeight="1" x14ac:dyDescent="0.25">
      <c r="C102" s="381"/>
      <c r="D102" s="382"/>
    </row>
    <row r="103" spans="1:16" ht="15" customHeight="1" x14ac:dyDescent="0.25">
      <c r="C103" s="381"/>
      <c r="D103" s="382"/>
    </row>
    <row r="104" spans="1:16" ht="15" customHeight="1" x14ac:dyDescent="0.25">
      <c r="C104" s="381"/>
      <c r="D104" s="382"/>
    </row>
    <row r="105" spans="1:16" ht="15" customHeight="1" x14ac:dyDescent="0.25">
      <c r="C105" s="381"/>
      <c r="D105" s="382"/>
    </row>
    <row r="106" spans="1:16" ht="15" customHeight="1" x14ac:dyDescent="0.25">
      <c r="C106" s="381"/>
      <c r="D106" s="382"/>
    </row>
    <row r="107" spans="1:16" ht="15" customHeight="1" x14ac:dyDescent="0.25">
      <c r="C107" s="381"/>
      <c r="D107" s="382"/>
    </row>
    <row r="108" spans="1:16" ht="15" customHeight="1" x14ac:dyDescent="0.25">
      <c r="B108" s="360"/>
      <c r="C108" s="381"/>
      <c r="D108" s="382"/>
    </row>
    <row r="109" spans="1:16" ht="15" customHeight="1" x14ac:dyDescent="0.25">
      <c r="A109" s="383"/>
      <c r="B109" s="360"/>
      <c r="C109" s="384"/>
      <c r="D109" s="380"/>
      <c r="F109" s="385"/>
      <c r="G109" s="385"/>
      <c r="H109" s="385"/>
      <c r="I109" s="385"/>
      <c r="J109" s="385"/>
      <c r="K109" s="385"/>
      <c r="L109" s="385"/>
      <c r="M109" s="385"/>
      <c r="N109" s="385"/>
      <c r="O109" s="385"/>
    </row>
    <row r="110" spans="1:16" ht="15" customHeight="1" x14ac:dyDescent="0.25">
      <c r="A110" s="383"/>
      <c r="B110" s="386"/>
      <c r="C110" s="384"/>
      <c r="D110" s="380"/>
      <c r="E110" s="380"/>
      <c r="F110" s="387"/>
      <c r="G110" s="387"/>
      <c r="H110" s="387"/>
      <c r="I110" s="387"/>
      <c r="J110" s="387"/>
      <c r="K110" s="387"/>
      <c r="L110" s="387"/>
      <c r="M110" s="387"/>
      <c r="N110" s="387"/>
      <c r="O110" s="387"/>
    </row>
    <row r="111" spans="1:16" ht="15" customHeight="1" x14ac:dyDescent="0.25">
      <c r="A111" s="383"/>
      <c r="B111" s="386"/>
      <c r="C111" s="384"/>
      <c r="F111" s="385"/>
      <c r="G111" s="385"/>
      <c r="H111" s="385"/>
      <c r="I111" s="385"/>
      <c r="J111" s="385"/>
      <c r="K111" s="385"/>
      <c r="L111" s="385"/>
      <c r="M111" s="385"/>
      <c r="N111" s="385"/>
      <c r="O111" s="385"/>
    </row>
    <row r="112" spans="1:16" ht="15" customHeight="1" x14ac:dyDescent="0.25">
      <c r="A112" s="383"/>
      <c r="B112" s="386"/>
      <c r="C112" s="384"/>
      <c r="F112" s="385"/>
      <c r="G112" s="385"/>
      <c r="H112" s="385"/>
      <c r="I112" s="385"/>
      <c r="J112" s="385"/>
      <c r="K112" s="385"/>
      <c r="L112" s="385"/>
      <c r="M112" s="385"/>
      <c r="N112" s="385"/>
      <c r="O112" s="385"/>
    </row>
    <row r="113" spans="1:15" ht="15" customHeight="1" x14ac:dyDescent="0.25">
      <c r="A113" s="383"/>
      <c r="C113" s="384"/>
      <c r="F113" s="385"/>
      <c r="G113" s="385"/>
      <c r="H113" s="385"/>
      <c r="I113" s="385"/>
      <c r="J113" s="385"/>
      <c r="K113" s="385"/>
      <c r="L113" s="385"/>
      <c r="M113" s="385"/>
      <c r="N113" s="385"/>
      <c r="O113" s="385"/>
    </row>
    <row r="114" spans="1:15" ht="15" customHeight="1" x14ac:dyDescent="0.25">
      <c r="A114" s="383"/>
      <c r="C114" s="384"/>
      <c r="F114" s="385"/>
      <c r="G114" s="385"/>
      <c r="H114" s="385"/>
      <c r="I114" s="385"/>
      <c r="J114" s="385"/>
      <c r="K114" s="385"/>
      <c r="L114" s="385"/>
      <c r="M114" s="385"/>
      <c r="N114" s="385"/>
      <c r="O114" s="385"/>
    </row>
    <row r="115" spans="1:15" ht="15" customHeight="1" x14ac:dyDescent="0.25">
      <c r="A115" s="383"/>
      <c r="B115" s="388"/>
      <c r="C115" s="384"/>
      <c r="F115" s="385"/>
      <c r="G115" s="385"/>
      <c r="H115" s="385"/>
      <c r="I115" s="385"/>
      <c r="J115" s="385"/>
      <c r="K115" s="385"/>
      <c r="L115" s="385"/>
      <c r="M115" s="385"/>
      <c r="N115" s="385"/>
      <c r="O115" s="385"/>
    </row>
    <row r="116" spans="1:15" ht="15" customHeight="1" x14ac:dyDescent="0.25">
      <c r="A116" s="383"/>
      <c r="C116" s="384"/>
      <c r="F116" s="385"/>
      <c r="G116" s="385"/>
      <c r="H116" s="385"/>
      <c r="I116" s="385"/>
      <c r="J116" s="385"/>
      <c r="K116" s="385"/>
      <c r="L116" s="385"/>
      <c r="M116" s="385"/>
      <c r="N116" s="385"/>
      <c r="O116" s="385"/>
    </row>
    <row r="117" spans="1:15" ht="15" customHeight="1" x14ac:dyDescent="0.25">
      <c r="A117" s="383"/>
      <c r="B117" s="386"/>
      <c r="C117" s="384"/>
      <c r="F117" s="385"/>
      <c r="G117" s="385"/>
      <c r="H117" s="385"/>
      <c r="I117" s="385"/>
      <c r="J117" s="385"/>
      <c r="K117" s="385"/>
      <c r="L117" s="385"/>
      <c r="M117" s="385"/>
      <c r="N117" s="385"/>
      <c r="O117" s="385"/>
    </row>
    <row r="118" spans="1:15" ht="15" customHeight="1" x14ac:dyDescent="0.25">
      <c r="A118" s="383"/>
      <c r="B118" s="386"/>
      <c r="C118" s="384"/>
      <c r="F118" s="385"/>
      <c r="G118" s="385"/>
      <c r="H118" s="385"/>
      <c r="I118" s="385"/>
      <c r="J118" s="385"/>
      <c r="K118" s="385"/>
      <c r="L118" s="385"/>
      <c r="M118" s="385"/>
      <c r="N118" s="385"/>
      <c r="O118" s="385"/>
    </row>
    <row r="119" spans="1:15" ht="15" customHeight="1" x14ac:dyDescent="0.25">
      <c r="A119" s="383"/>
      <c r="B119" s="386"/>
      <c r="C119" s="384"/>
      <c r="F119" s="385"/>
      <c r="G119" s="385"/>
      <c r="H119" s="385"/>
      <c r="I119" s="385"/>
      <c r="J119" s="385"/>
      <c r="K119" s="385"/>
      <c r="L119" s="385"/>
      <c r="M119" s="385"/>
      <c r="N119" s="385"/>
      <c r="O119" s="385"/>
    </row>
    <row r="120" spans="1:15" ht="15" customHeight="1" x14ac:dyDescent="0.25">
      <c r="A120" s="383"/>
      <c r="B120" s="386"/>
      <c r="C120" s="384"/>
      <c r="F120" s="385"/>
      <c r="G120" s="385"/>
      <c r="H120" s="385"/>
      <c r="I120" s="385"/>
      <c r="J120" s="385"/>
      <c r="K120" s="385"/>
      <c r="L120" s="385"/>
      <c r="M120" s="385"/>
      <c r="N120" s="385"/>
      <c r="O120" s="385"/>
    </row>
    <row r="121" spans="1:15" ht="15" customHeight="1" x14ac:dyDescent="0.25">
      <c r="A121" s="383"/>
      <c r="B121" s="386"/>
      <c r="C121" s="384"/>
      <c r="F121" s="385"/>
      <c r="G121" s="385"/>
      <c r="H121" s="385"/>
      <c r="I121" s="385"/>
      <c r="J121" s="385"/>
      <c r="K121" s="385"/>
      <c r="L121" s="385"/>
      <c r="M121" s="385"/>
      <c r="N121" s="385"/>
      <c r="O121" s="385"/>
    </row>
    <row r="122" spans="1:15" ht="15" customHeight="1" x14ac:dyDescent="0.25">
      <c r="A122" s="383"/>
      <c r="B122" s="386"/>
      <c r="C122" s="384"/>
      <c r="F122" s="385"/>
      <c r="G122" s="385"/>
      <c r="H122" s="385"/>
      <c r="I122" s="385"/>
      <c r="J122" s="385"/>
      <c r="K122" s="385"/>
      <c r="L122" s="385"/>
      <c r="M122" s="385"/>
      <c r="N122" s="385"/>
      <c r="O122" s="385"/>
    </row>
    <row r="123" spans="1:15" ht="15" customHeight="1" x14ac:dyDescent="0.25">
      <c r="C123" s="384"/>
      <c r="F123" s="385"/>
      <c r="G123" s="385"/>
      <c r="H123" s="385"/>
      <c r="I123" s="385"/>
      <c r="J123" s="385"/>
      <c r="K123" s="385"/>
      <c r="L123" s="385"/>
      <c r="M123" s="385"/>
      <c r="N123" s="385"/>
      <c r="O123" s="385"/>
    </row>
    <row r="124" spans="1:15" ht="15" customHeight="1" x14ac:dyDescent="0.25">
      <c r="B124" s="386"/>
      <c r="C124" s="384"/>
      <c r="F124" s="385"/>
      <c r="G124" s="385"/>
      <c r="H124" s="385"/>
      <c r="I124" s="385"/>
      <c r="J124" s="385"/>
      <c r="K124" s="385"/>
      <c r="L124" s="385"/>
      <c r="M124" s="385"/>
      <c r="N124" s="385"/>
      <c r="O124" s="385"/>
    </row>
    <row r="125" spans="1:15" ht="15" customHeight="1" x14ac:dyDescent="0.25">
      <c r="B125" s="386"/>
      <c r="C125" s="384"/>
      <c r="F125" s="385"/>
      <c r="G125" s="385"/>
      <c r="H125" s="385"/>
      <c r="I125" s="385"/>
      <c r="J125" s="385"/>
      <c r="K125" s="385"/>
      <c r="L125" s="385"/>
      <c r="M125" s="385"/>
      <c r="N125" s="385"/>
      <c r="O125" s="385"/>
    </row>
    <row r="126" spans="1:15" ht="15" customHeight="1" x14ac:dyDescent="0.25">
      <c r="B126" s="386"/>
      <c r="C126" s="384"/>
      <c r="F126" s="385"/>
      <c r="G126" s="385"/>
      <c r="H126" s="385"/>
      <c r="I126" s="385"/>
      <c r="J126" s="385"/>
      <c r="K126" s="385"/>
      <c r="L126" s="385"/>
      <c r="M126" s="385"/>
      <c r="N126" s="385"/>
      <c r="O126" s="385"/>
    </row>
    <row r="127" spans="1:15" ht="15" customHeight="1" x14ac:dyDescent="0.25">
      <c r="B127" s="388"/>
      <c r="C127" s="384"/>
      <c r="F127" s="385"/>
      <c r="G127" s="385"/>
      <c r="H127" s="385"/>
      <c r="I127" s="385"/>
      <c r="J127" s="385"/>
      <c r="K127" s="385"/>
      <c r="L127" s="385"/>
      <c r="M127" s="385"/>
      <c r="N127" s="385"/>
      <c r="O127" s="385"/>
    </row>
    <row r="128" spans="1:15" ht="15" customHeight="1" x14ac:dyDescent="0.25">
      <c r="B128" s="386"/>
      <c r="C128" s="384"/>
      <c r="F128" s="385"/>
      <c r="G128" s="385"/>
      <c r="H128" s="385"/>
      <c r="I128" s="385"/>
      <c r="J128" s="385"/>
      <c r="K128" s="385"/>
      <c r="L128" s="385"/>
      <c r="M128" s="385"/>
      <c r="N128" s="385"/>
      <c r="O128" s="385"/>
    </row>
    <row r="129" spans="2:15" ht="15" customHeight="1" x14ac:dyDescent="0.25">
      <c r="B129" s="386"/>
      <c r="C129" s="384"/>
      <c r="F129" s="385"/>
      <c r="G129" s="385"/>
      <c r="H129" s="385"/>
      <c r="I129" s="385"/>
      <c r="J129" s="385"/>
      <c r="K129" s="385"/>
      <c r="L129" s="385"/>
      <c r="M129" s="385"/>
      <c r="N129" s="385"/>
      <c r="O129" s="385"/>
    </row>
    <row r="130" spans="2:15" ht="15" customHeight="1" x14ac:dyDescent="0.25">
      <c r="B130" s="386"/>
      <c r="C130" s="384"/>
      <c r="F130" s="385"/>
      <c r="G130" s="385"/>
      <c r="H130" s="385"/>
      <c r="I130" s="385"/>
      <c r="J130" s="385"/>
      <c r="K130" s="385"/>
      <c r="L130" s="385"/>
      <c r="M130" s="385"/>
      <c r="N130" s="385"/>
      <c r="O130" s="385"/>
    </row>
    <row r="131" spans="2:15" ht="15" customHeight="1" x14ac:dyDescent="0.25">
      <c r="B131" s="386"/>
      <c r="C131" s="384"/>
      <c r="F131" s="385"/>
      <c r="G131" s="385"/>
      <c r="H131" s="385"/>
      <c r="I131" s="385"/>
      <c r="J131" s="385"/>
      <c r="K131" s="385"/>
      <c r="L131" s="385"/>
      <c r="M131" s="385"/>
      <c r="N131" s="385"/>
      <c r="O131" s="385"/>
    </row>
    <row r="132" spans="2:15" ht="15" customHeight="1" x14ac:dyDescent="0.25">
      <c r="B132" s="386"/>
      <c r="C132" s="384"/>
      <c r="F132" s="385"/>
      <c r="G132" s="385"/>
      <c r="H132" s="385"/>
      <c r="I132" s="385"/>
      <c r="J132" s="385"/>
      <c r="K132" s="385"/>
      <c r="L132" s="385"/>
      <c r="M132" s="385"/>
      <c r="N132" s="385"/>
      <c r="O132" s="385"/>
    </row>
    <row r="133" spans="2:15" ht="15" customHeight="1" x14ac:dyDescent="0.25">
      <c r="B133" s="386"/>
      <c r="C133" s="384"/>
      <c r="F133" s="385"/>
      <c r="G133" s="385"/>
      <c r="H133" s="385"/>
      <c r="I133" s="385"/>
      <c r="J133" s="385"/>
      <c r="K133" s="385"/>
      <c r="L133" s="385"/>
      <c r="M133" s="385"/>
      <c r="N133" s="385"/>
      <c r="O133" s="385"/>
    </row>
    <row r="134" spans="2:15" ht="15" customHeight="1" x14ac:dyDescent="0.25">
      <c r="B134" s="386"/>
      <c r="C134" s="384"/>
      <c r="F134" s="385"/>
      <c r="G134" s="385"/>
      <c r="H134" s="385"/>
      <c r="I134" s="385"/>
      <c r="J134" s="385"/>
      <c r="K134" s="385"/>
      <c r="L134" s="385"/>
      <c r="M134" s="385"/>
      <c r="N134" s="385"/>
      <c r="O134" s="385"/>
    </row>
    <row r="135" spans="2:15" ht="15" customHeight="1" x14ac:dyDescent="0.25">
      <c r="B135" s="386"/>
      <c r="C135" s="384"/>
      <c r="F135" s="385"/>
      <c r="G135" s="385"/>
      <c r="H135" s="385"/>
      <c r="I135" s="385"/>
      <c r="J135" s="385"/>
      <c r="K135" s="385"/>
      <c r="L135" s="385"/>
      <c r="M135" s="385"/>
      <c r="N135" s="385"/>
      <c r="O135" s="385"/>
    </row>
    <row r="136" spans="2:15" ht="15" customHeight="1" x14ac:dyDescent="0.25">
      <c r="B136" s="389"/>
      <c r="C136" s="384"/>
      <c r="F136" s="385"/>
      <c r="G136" s="385"/>
      <c r="H136" s="385"/>
      <c r="I136" s="385"/>
      <c r="J136" s="385"/>
      <c r="K136" s="385"/>
      <c r="L136" s="385"/>
      <c r="M136" s="385"/>
      <c r="N136" s="385"/>
      <c r="O136" s="385"/>
    </row>
    <row r="137" spans="2:15" ht="15" customHeight="1" x14ac:dyDescent="0.25">
      <c r="C137" s="384"/>
      <c r="F137" s="385"/>
      <c r="G137" s="385"/>
      <c r="H137" s="385"/>
      <c r="I137" s="385"/>
      <c r="J137" s="385"/>
      <c r="K137" s="385"/>
      <c r="L137" s="385"/>
      <c r="M137" s="385"/>
      <c r="N137" s="385"/>
      <c r="O137" s="385"/>
    </row>
    <row r="138" spans="2:15" ht="15" customHeight="1" x14ac:dyDescent="0.25">
      <c r="B138" s="389"/>
      <c r="C138" s="384"/>
      <c r="F138" s="385"/>
      <c r="G138" s="385"/>
      <c r="H138" s="385"/>
      <c r="I138" s="385"/>
      <c r="J138" s="385"/>
      <c r="K138" s="385"/>
      <c r="L138" s="385"/>
      <c r="M138" s="385"/>
      <c r="N138" s="385"/>
      <c r="O138" s="385"/>
    </row>
    <row r="139" spans="2:15" ht="15" customHeight="1" x14ac:dyDescent="0.25">
      <c r="C139" s="384"/>
      <c r="F139" s="385"/>
      <c r="G139" s="385"/>
      <c r="H139" s="385"/>
      <c r="I139" s="385"/>
      <c r="J139" s="385"/>
      <c r="K139" s="385"/>
      <c r="L139" s="385"/>
      <c r="M139" s="385"/>
      <c r="N139" s="385"/>
      <c r="O139" s="385"/>
    </row>
    <row r="140" spans="2:15" ht="15" customHeight="1" x14ac:dyDescent="0.25">
      <c r="B140" s="386"/>
      <c r="C140" s="384"/>
      <c r="F140" s="385"/>
      <c r="G140" s="385"/>
      <c r="H140" s="385"/>
      <c r="I140" s="385"/>
      <c r="J140" s="385"/>
      <c r="K140" s="385"/>
      <c r="L140" s="385"/>
      <c r="M140" s="385"/>
      <c r="N140" s="385"/>
      <c r="O140" s="385"/>
    </row>
    <row r="141" spans="2:15" ht="15" customHeight="1" x14ac:dyDescent="0.25">
      <c r="B141" s="386"/>
      <c r="C141" s="384"/>
      <c r="F141" s="385"/>
      <c r="G141" s="385"/>
      <c r="H141" s="385"/>
      <c r="I141" s="385"/>
      <c r="J141" s="385"/>
      <c r="K141" s="385"/>
      <c r="L141" s="385"/>
      <c r="M141" s="385"/>
      <c r="N141" s="385"/>
      <c r="O141" s="385"/>
    </row>
    <row r="142" spans="2:15" ht="15" customHeight="1" x14ac:dyDescent="0.25">
      <c r="B142" s="386"/>
      <c r="C142" s="384"/>
      <c r="F142" s="385"/>
      <c r="G142" s="385"/>
      <c r="H142" s="385"/>
      <c r="I142" s="385"/>
      <c r="J142" s="385"/>
      <c r="K142" s="385"/>
      <c r="L142" s="385"/>
      <c r="M142" s="385"/>
      <c r="N142" s="385"/>
      <c r="O142" s="385"/>
    </row>
    <row r="143" spans="2:15" ht="15" customHeight="1" x14ac:dyDescent="0.25">
      <c r="B143" s="389"/>
      <c r="C143" s="384"/>
      <c r="F143" s="385"/>
      <c r="G143" s="385"/>
      <c r="H143" s="385"/>
      <c r="I143" s="385"/>
      <c r="J143" s="385"/>
      <c r="K143" s="385"/>
      <c r="L143" s="385"/>
      <c r="M143" s="385"/>
      <c r="N143" s="385"/>
      <c r="O143" s="385"/>
    </row>
    <row r="144" spans="2:15" ht="15" customHeight="1" x14ac:dyDescent="0.25">
      <c r="C144" s="384"/>
      <c r="F144" s="385"/>
      <c r="G144" s="385"/>
      <c r="H144" s="385"/>
      <c r="I144" s="385"/>
      <c r="J144" s="385"/>
      <c r="K144" s="385"/>
      <c r="L144" s="385"/>
      <c r="M144" s="385"/>
      <c r="N144" s="385"/>
      <c r="O144" s="385"/>
    </row>
    <row r="145" spans="1:15" ht="15" customHeight="1" x14ac:dyDescent="0.25">
      <c r="B145" s="386"/>
      <c r="C145" s="384"/>
      <c r="F145" s="385"/>
      <c r="G145" s="385"/>
      <c r="H145" s="385"/>
      <c r="I145" s="385"/>
      <c r="J145" s="385"/>
      <c r="K145" s="385"/>
      <c r="L145" s="385"/>
      <c r="M145" s="385"/>
      <c r="N145" s="385"/>
      <c r="O145" s="385"/>
    </row>
    <row r="146" spans="1:15" ht="15" customHeight="1" x14ac:dyDescent="0.25">
      <c r="B146" s="386"/>
      <c r="C146" s="384"/>
      <c r="F146" s="385"/>
      <c r="G146" s="385"/>
      <c r="H146" s="385"/>
      <c r="I146" s="385"/>
      <c r="J146" s="385"/>
      <c r="K146" s="385"/>
      <c r="L146" s="385"/>
      <c r="M146" s="385"/>
      <c r="N146" s="385"/>
      <c r="O146" s="385"/>
    </row>
    <row r="147" spans="1:15" ht="15" customHeight="1" x14ac:dyDescent="0.25">
      <c r="B147" s="389"/>
      <c r="C147" s="384"/>
      <c r="F147" s="385"/>
      <c r="G147" s="385"/>
      <c r="H147" s="385"/>
      <c r="I147" s="385"/>
      <c r="J147" s="385"/>
      <c r="K147" s="385"/>
      <c r="L147" s="385"/>
      <c r="M147" s="385"/>
      <c r="N147" s="385"/>
      <c r="O147" s="385"/>
    </row>
    <row r="148" spans="1:15" ht="15" customHeight="1" x14ac:dyDescent="0.25">
      <c r="C148" s="384"/>
      <c r="F148" s="385"/>
      <c r="G148" s="385"/>
      <c r="H148" s="385"/>
      <c r="I148" s="385"/>
      <c r="J148" s="385"/>
      <c r="K148" s="385"/>
      <c r="L148" s="385"/>
      <c r="M148" s="385"/>
      <c r="N148" s="385"/>
      <c r="O148" s="385"/>
    </row>
    <row r="149" spans="1:15" ht="15" customHeight="1" x14ac:dyDescent="0.25">
      <c r="B149" s="388"/>
      <c r="C149" s="390"/>
      <c r="F149" s="385"/>
      <c r="G149" s="385"/>
      <c r="H149" s="385"/>
      <c r="I149" s="385"/>
      <c r="J149" s="385"/>
      <c r="K149" s="385"/>
      <c r="L149" s="385"/>
      <c r="M149" s="385"/>
      <c r="N149" s="385"/>
      <c r="O149" s="385"/>
    </row>
    <row r="150" spans="1:15" ht="15" customHeight="1" x14ac:dyDescent="0.25">
      <c r="B150" s="389"/>
      <c r="C150" s="384"/>
      <c r="F150" s="385"/>
      <c r="G150" s="385"/>
      <c r="H150" s="385"/>
      <c r="I150" s="385"/>
      <c r="J150" s="385"/>
      <c r="K150" s="385"/>
      <c r="L150" s="385"/>
      <c r="M150" s="385"/>
      <c r="N150" s="385"/>
      <c r="O150" s="385"/>
    </row>
    <row r="151" spans="1:15" ht="15" customHeight="1" x14ac:dyDescent="0.25">
      <c r="B151" s="389"/>
      <c r="C151" s="384"/>
      <c r="F151" s="385"/>
      <c r="G151" s="385"/>
      <c r="H151" s="385"/>
      <c r="I151" s="385"/>
      <c r="J151" s="385"/>
      <c r="K151" s="385"/>
      <c r="L151" s="385"/>
      <c r="M151" s="385"/>
      <c r="N151" s="385"/>
      <c r="O151" s="385"/>
    </row>
    <row r="152" spans="1:15" ht="15" customHeight="1" x14ac:dyDescent="0.25">
      <c r="C152" s="384"/>
      <c r="F152" s="385"/>
      <c r="G152" s="385"/>
      <c r="H152" s="385"/>
      <c r="I152" s="385"/>
      <c r="J152" s="385"/>
      <c r="K152" s="385"/>
      <c r="L152" s="385"/>
      <c r="M152" s="385"/>
      <c r="N152" s="385"/>
      <c r="O152" s="385"/>
    </row>
    <row r="153" spans="1:15" ht="15" customHeight="1" x14ac:dyDescent="0.25">
      <c r="F153" s="385"/>
      <c r="G153" s="385"/>
      <c r="H153" s="385"/>
      <c r="I153" s="385"/>
      <c r="J153" s="385"/>
      <c r="K153" s="385"/>
      <c r="L153" s="385"/>
      <c r="M153" s="385"/>
      <c r="N153" s="385"/>
      <c r="O153" s="385"/>
    </row>
    <row r="154" spans="1:15" ht="15" customHeight="1" x14ac:dyDescent="0.25">
      <c r="C154" s="390"/>
      <c r="F154" s="391"/>
      <c r="G154" s="391"/>
      <c r="H154" s="391"/>
      <c r="I154" s="391"/>
      <c r="J154" s="391"/>
      <c r="K154" s="391"/>
      <c r="L154" s="391"/>
      <c r="M154" s="391"/>
      <c r="N154" s="391"/>
      <c r="O154" s="391"/>
    </row>
    <row r="155" spans="1:15" ht="15" customHeight="1" x14ac:dyDescent="0.25">
      <c r="C155" s="390"/>
      <c r="F155" s="391"/>
      <c r="G155" s="391"/>
      <c r="H155" s="391"/>
      <c r="I155" s="391"/>
      <c r="J155" s="391"/>
      <c r="K155" s="391"/>
      <c r="L155" s="391"/>
      <c r="M155" s="391"/>
      <c r="N155" s="391"/>
      <c r="O155" s="391"/>
    </row>
    <row r="156" spans="1:15" ht="15" customHeight="1" x14ac:dyDescent="0.25"/>
    <row r="157" spans="1:15" ht="15" customHeight="1" x14ac:dyDescent="0.25">
      <c r="A157" s="381"/>
      <c r="C157" s="381"/>
      <c r="D157" s="382"/>
    </row>
    <row r="158" spans="1:15" ht="15" customHeight="1" x14ac:dyDescent="0.25">
      <c r="B158" s="386"/>
      <c r="C158" s="384"/>
      <c r="D158" s="380"/>
      <c r="F158" s="385"/>
      <c r="G158" s="385"/>
      <c r="H158" s="385"/>
      <c r="I158" s="385"/>
      <c r="J158" s="385"/>
      <c r="K158" s="385"/>
      <c r="L158" s="385"/>
      <c r="M158" s="385"/>
      <c r="N158" s="385"/>
      <c r="O158" s="385"/>
    </row>
    <row r="159" spans="1:15" ht="15" customHeight="1" x14ac:dyDescent="0.25">
      <c r="B159" s="386"/>
      <c r="C159" s="384"/>
      <c r="D159" s="380"/>
      <c r="E159" s="380"/>
      <c r="F159" s="387"/>
      <c r="G159" s="387"/>
      <c r="H159" s="387"/>
      <c r="I159" s="387"/>
      <c r="J159" s="387"/>
      <c r="K159" s="387"/>
      <c r="L159" s="387"/>
      <c r="M159" s="387"/>
      <c r="N159" s="387"/>
      <c r="O159" s="387"/>
    </row>
    <row r="160" spans="1:15" ht="15" customHeight="1" x14ac:dyDescent="0.25">
      <c r="B160" s="386"/>
      <c r="C160" s="384"/>
      <c r="F160" s="385"/>
      <c r="G160" s="385"/>
      <c r="H160" s="385"/>
      <c r="I160" s="385"/>
      <c r="J160" s="385"/>
      <c r="K160" s="385"/>
      <c r="L160" s="385"/>
      <c r="M160" s="385"/>
      <c r="N160" s="385"/>
      <c r="O160" s="385"/>
    </row>
    <row r="161" spans="2:15" ht="15" customHeight="1" x14ac:dyDescent="0.25">
      <c r="B161" s="386"/>
      <c r="C161" s="384"/>
      <c r="F161" s="385"/>
      <c r="G161" s="385"/>
      <c r="H161" s="385"/>
      <c r="I161" s="385"/>
      <c r="J161" s="385"/>
      <c r="K161" s="385"/>
      <c r="L161" s="385"/>
      <c r="M161" s="385"/>
      <c r="N161" s="385"/>
      <c r="O161" s="385"/>
    </row>
    <row r="162" spans="2:15" ht="15" customHeight="1" x14ac:dyDescent="0.25">
      <c r="B162" s="386"/>
      <c r="C162" s="384"/>
      <c r="F162" s="385"/>
      <c r="G162" s="385"/>
      <c r="H162" s="385"/>
      <c r="I162" s="385"/>
      <c r="J162" s="385"/>
      <c r="K162" s="385"/>
      <c r="L162" s="385"/>
      <c r="M162" s="385"/>
      <c r="N162" s="385"/>
      <c r="O162" s="385"/>
    </row>
    <row r="163" spans="2:15" ht="15" customHeight="1" x14ac:dyDescent="0.25">
      <c r="B163" s="386"/>
      <c r="C163" s="384"/>
      <c r="F163" s="385"/>
      <c r="G163" s="385"/>
      <c r="H163" s="385"/>
      <c r="I163" s="385"/>
      <c r="J163" s="385"/>
      <c r="K163" s="385"/>
      <c r="L163" s="385"/>
      <c r="M163" s="385"/>
      <c r="N163" s="385"/>
      <c r="O163" s="385"/>
    </row>
    <row r="164" spans="2:15" ht="15" customHeight="1" x14ac:dyDescent="0.25">
      <c r="B164" s="388"/>
      <c r="C164" s="384"/>
      <c r="F164" s="385"/>
      <c r="G164" s="385"/>
      <c r="H164" s="385"/>
      <c r="I164" s="385"/>
      <c r="J164" s="385"/>
      <c r="K164" s="385"/>
      <c r="L164" s="385"/>
      <c r="M164" s="385"/>
      <c r="N164" s="385"/>
      <c r="O164" s="385"/>
    </row>
    <row r="165" spans="2:15" ht="15" customHeight="1" x14ac:dyDescent="0.25">
      <c r="C165" s="384"/>
      <c r="F165" s="385"/>
      <c r="G165" s="385"/>
      <c r="H165" s="385"/>
      <c r="I165" s="385"/>
      <c r="J165" s="385"/>
      <c r="K165" s="385"/>
      <c r="L165" s="385"/>
      <c r="M165" s="385"/>
      <c r="N165" s="385"/>
      <c r="O165" s="385"/>
    </row>
    <row r="166" spans="2:15" ht="15" customHeight="1" x14ac:dyDescent="0.25">
      <c r="B166" s="386"/>
      <c r="C166" s="384"/>
      <c r="F166" s="385"/>
      <c r="G166" s="385"/>
      <c r="H166" s="385"/>
      <c r="I166" s="385"/>
      <c r="J166" s="385"/>
      <c r="K166" s="385"/>
      <c r="L166" s="385"/>
      <c r="M166" s="385"/>
      <c r="N166" s="385"/>
      <c r="O166" s="385"/>
    </row>
    <row r="167" spans="2:15" ht="15" customHeight="1" x14ac:dyDescent="0.25">
      <c r="B167" s="386"/>
      <c r="C167" s="384"/>
      <c r="F167" s="385"/>
      <c r="G167" s="385"/>
      <c r="H167" s="385"/>
      <c r="I167" s="385"/>
      <c r="J167" s="385"/>
      <c r="K167" s="385"/>
      <c r="L167" s="385"/>
      <c r="M167" s="385"/>
      <c r="N167" s="385"/>
      <c r="O167" s="385"/>
    </row>
    <row r="168" spans="2:15" ht="15" customHeight="1" x14ac:dyDescent="0.25">
      <c r="B168" s="386"/>
      <c r="C168" s="384"/>
      <c r="F168" s="385"/>
      <c r="G168" s="385"/>
      <c r="H168" s="385"/>
      <c r="I168" s="385"/>
      <c r="J168" s="385"/>
      <c r="K168" s="385"/>
      <c r="L168" s="385"/>
      <c r="M168" s="385"/>
      <c r="N168" s="385"/>
      <c r="O168" s="385"/>
    </row>
    <row r="169" spans="2:15" ht="15" customHeight="1" x14ac:dyDescent="0.25">
      <c r="B169" s="386"/>
      <c r="C169" s="384"/>
      <c r="F169" s="385"/>
      <c r="G169" s="385"/>
      <c r="H169" s="385"/>
      <c r="I169" s="385"/>
      <c r="J169" s="385"/>
      <c r="K169" s="385"/>
      <c r="L169" s="385"/>
      <c r="M169" s="385"/>
      <c r="N169" s="385"/>
      <c r="O169" s="385"/>
    </row>
    <row r="170" spans="2:15" ht="15" customHeight="1" x14ac:dyDescent="0.25">
      <c r="C170" s="384"/>
      <c r="F170" s="385"/>
      <c r="G170" s="385"/>
      <c r="H170" s="385"/>
      <c r="I170" s="385"/>
      <c r="J170" s="385"/>
      <c r="K170" s="385"/>
      <c r="L170" s="385"/>
      <c r="M170" s="385"/>
      <c r="N170" s="385"/>
      <c r="O170" s="385"/>
    </row>
    <row r="171" spans="2:15" ht="15" customHeight="1" x14ac:dyDescent="0.25">
      <c r="B171" s="386"/>
      <c r="C171" s="384"/>
      <c r="F171" s="385"/>
      <c r="G171" s="385"/>
      <c r="H171" s="385"/>
      <c r="I171" s="385"/>
      <c r="J171" s="385"/>
      <c r="K171" s="385"/>
      <c r="L171" s="385"/>
      <c r="M171" s="385"/>
      <c r="N171" s="385"/>
      <c r="O171" s="385"/>
    </row>
    <row r="172" spans="2:15" ht="15" customHeight="1" x14ac:dyDescent="0.25">
      <c r="B172" s="386"/>
      <c r="C172" s="384"/>
      <c r="F172" s="385"/>
      <c r="G172" s="385"/>
      <c r="H172" s="385"/>
      <c r="I172" s="385"/>
      <c r="J172" s="385"/>
      <c r="K172" s="385"/>
      <c r="L172" s="385"/>
      <c r="M172" s="385"/>
      <c r="N172" s="385"/>
      <c r="O172" s="385"/>
    </row>
    <row r="173" spans="2:15" ht="15" customHeight="1" x14ac:dyDescent="0.25">
      <c r="B173" s="386"/>
      <c r="C173" s="384"/>
      <c r="F173" s="385"/>
      <c r="G173" s="385"/>
      <c r="H173" s="385"/>
      <c r="I173" s="385"/>
      <c r="J173" s="385"/>
      <c r="K173" s="385"/>
      <c r="L173" s="385"/>
      <c r="M173" s="385"/>
      <c r="N173" s="385"/>
      <c r="O173" s="385"/>
    </row>
    <row r="174" spans="2:15" ht="15" customHeight="1" x14ac:dyDescent="0.25">
      <c r="B174" s="388"/>
      <c r="C174" s="384"/>
      <c r="F174" s="385"/>
      <c r="G174" s="385"/>
      <c r="H174" s="385"/>
      <c r="I174" s="385"/>
      <c r="J174" s="385"/>
      <c r="K174" s="385"/>
      <c r="L174" s="385"/>
      <c r="M174" s="385"/>
      <c r="N174" s="385"/>
      <c r="O174" s="385"/>
    </row>
    <row r="175" spans="2:15" ht="15" customHeight="1" x14ac:dyDescent="0.25">
      <c r="B175" s="386"/>
      <c r="C175" s="384"/>
      <c r="F175" s="385"/>
      <c r="G175" s="385"/>
      <c r="H175" s="385"/>
      <c r="I175" s="385"/>
      <c r="J175" s="385"/>
      <c r="K175" s="385"/>
      <c r="L175" s="385"/>
      <c r="M175" s="385"/>
      <c r="N175" s="385"/>
      <c r="O175" s="385"/>
    </row>
    <row r="176" spans="2:15" ht="15" customHeight="1" x14ac:dyDescent="0.25">
      <c r="B176" s="386"/>
      <c r="C176" s="384"/>
      <c r="F176" s="385"/>
      <c r="G176" s="385"/>
      <c r="H176" s="385"/>
      <c r="I176" s="385"/>
      <c r="J176" s="385"/>
      <c r="K176" s="385"/>
      <c r="L176" s="385"/>
      <c r="M176" s="385"/>
      <c r="N176" s="385"/>
      <c r="O176" s="385"/>
    </row>
    <row r="177" spans="2:15" ht="15" customHeight="1" x14ac:dyDescent="0.25">
      <c r="B177" s="386"/>
      <c r="C177" s="384"/>
      <c r="F177" s="385"/>
      <c r="G177" s="385"/>
      <c r="H177" s="385"/>
      <c r="I177" s="385"/>
      <c r="J177" s="385"/>
      <c r="K177" s="385"/>
      <c r="L177" s="385"/>
      <c r="M177" s="385"/>
      <c r="N177" s="385"/>
      <c r="O177" s="385"/>
    </row>
    <row r="178" spans="2:15" ht="15" customHeight="1" x14ac:dyDescent="0.25">
      <c r="B178" s="386"/>
      <c r="C178" s="384"/>
      <c r="F178" s="385"/>
      <c r="G178" s="385"/>
      <c r="H178" s="385"/>
      <c r="I178" s="385"/>
      <c r="J178" s="385"/>
      <c r="K178" s="385"/>
      <c r="L178" s="385"/>
      <c r="M178" s="385"/>
      <c r="N178" s="385"/>
      <c r="O178" s="385"/>
    </row>
    <row r="179" spans="2:15" ht="15" customHeight="1" x14ac:dyDescent="0.25">
      <c r="B179" s="386"/>
      <c r="C179" s="384"/>
      <c r="F179" s="385"/>
      <c r="G179" s="385"/>
      <c r="H179" s="385"/>
      <c r="I179" s="385"/>
      <c r="J179" s="385"/>
      <c r="K179" s="385"/>
      <c r="L179" s="385"/>
      <c r="M179" s="385"/>
      <c r="N179" s="385"/>
      <c r="O179" s="385"/>
    </row>
    <row r="180" spans="2:15" ht="15" customHeight="1" x14ac:dyDescent="0.25">
      <c r="B180" s="386"/>
      <c r="C180" s="384"/>
      <c r="F180" s="385"/>
      <c r="G180" s="385"/>
      <c r="H180" s="385"/>
      <c r="I180" s="385"/>
      <c r="J180" s="385"/>
      <c r="K180" s="385"/>
      <c r="L180" s="385"/>
      <c r="M180" s="385"/>
      <c r="N180" s="385"/>
      <c r="O180" s="385"/>
    </row>
    <row r="181" spans="2:15" ht="15" customHeight="1" x14ac:dyDescent="0.25">
      <c r="B181" s="386"/>
      <c r="C181" s="384"/>
      <c r="F181" s="385"/>
      <c r="G181" s="385"/>
      <c r="H181" s="385"/>
      <c r="I181" s="385"/>
      <c r="J181" s="385"/>
      <c r="K181" s="385"/>
      <c r="L181" s="385"/>
      <c r="M181" s="385"/>
      <c r="N181" s="385"/>
      <c r="O181" s="385"/>
    </row>
    <row r="182" spans="2:15" ht="15" customHeight="1" x14ac:dyDescent="0.25">
      <c r="B182" s="386"/>
      <c r="C182" s="384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2:15" ht="15" customHeight="1" x14ac:dyDescent="0.25">
      <c r="B183" s="389"/>
      <c r="C183" s="384"/>
      <c r="F183" s="385"/>
      <c r="G183" s="385"/>
      <c r="H183" s="385"/>
      <c r="I183" s="385"/>
      <c r="J183" s="385"/>
      <c r="K183" s="385"/>
      <c r="L183" s="385"/>
      <c r="M183" s="385"/>
      <c r="N183" s="385"/>
      <c r="O183" s="385"/>
    </row>
    <row r="184" spans="2:15" ht="15" customHeight="1" x14ac:dyDescent="0.25">
      <c r="C184" s="384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</row>
    <row r="185" spans="2:15" ht="15" customHeight="1" x14ac:dyDescent="0.25">
      <c r="B185" s="389"/>
      <c r="C185" s="384"/>
      <c r="F185" s="385"/>
      <c r="G185" s="385"/>
      <c r="H185" s="385"/>
      <c r="I185" s="385"/>
      <c r="J185" s="385"/>
      <c r="K185" s="385"/>
      <c r="L185" s="385"/>
      <c r="M185" s="385"/>
      <c r="N185" s="385"/>
      <c r="O185" s="385"/>
    </row>
    <row r="186" spans="2:15" ht="15" customHeight="1" x14ac:dyDescent="0.25">
      <c r="C186" s="384"/>
      <c r="F186" s="385"/>
      <c r="G186" s="385"/>
      <c r="H186" s="385"/>
      <c r="I186" s="385"/>
      <c r="J186" s="385"/>
      <c r="K186" s="385"/>
      <c r="L186" s="385"/>
      <c r="M186" s="385"/>
      <c r="N186" s="385"/>
      <c r="O186" s="385"/>
    </row>
    <row r="187" spans="2:15" ht="15" customHeight="1" x14ac:dyDescent="0.25">
      <c r="B187" s="386"/>
      <c r="C187" s="384"/>
      <c r="F187" s="385"/>
      <c r="G187" s="385"/>
      <c r="H187" s="385"/>
      <c r="I187" s="385"/>
      <c r="J187" s="385"/>
      <c r="K187" s="385"/>
      <c r="L187" s="385"/>
      <c r="M187" s="385"/>
      <c r="N187" s="385"/>
      <c r="O187" s="385"/>
    </row>
    <row r="188" spans="2:15" ht="15" customHeight="1" x14ac:dyDescent="0.25">
      <c r="B188" s="386"/>
      <c r="C188" s="384"/>
      <c r="F188" s="385"/>
      <c r="G188" s="385"/>
      <c r="H188" s="385"/>
      <c r="I188" s="385"/>
      <c r="J188" s="385"/>
      <c r="K188" s="385"/>
      <c r="L188" s="385"/>
      <c r="M188" s="385"/>
      <c r="N188" s="385"/>
      <c r="O188" s="385"/>
    </row>
    <row r="189" spans="2:15" ht="15" customHeight="1" x14ac:dyDescent="0.25">
      <c r="B189" s="386"/>
      <c r="C189" s="384"/>
      <c r="F189" s="385"/>
      <c r="G189" s="385"/>
      <c r="H189" s="385"/>
      <c r="I189" s="385"/>
      <c r="J189" s="385"/>
      <c r="K189" s="385"/>
      <c r="L189" s="385"/>
      <c r="M189" s="385"/>
      <c r="N189" s="385"/>
      <c r="O189" s="385"/>
    </row>
    <row r="190" spans="2:15" ht="15" customHeight="1" x14ac:dyDescent="0.25">
      <c r="B190" s="389"/>
      <c r="C190" s="384"/>
      <c r="F190" s="385"/>
      <c r="G190" s="385"/>
      <c r="H190" s="385"/>
      <c r="I190" s="385"/>
      <c r="J190" s="385"/>
      <c r="K190" s="385"/>
      <c r="L190" s="385"/>
      <c r="M190" s="385"/>
      <c r="N190" s="385"/>
      <c r="O190" s="385"/>
    </row>
    <row r="191" spans="2:15" ht="15" customHeight="1" x14ac:dyDescent="0.25">
      <c r="C191" s="384"/>
      <c r="F191" s="385"/>
      <c r="G191" s="385"/>
      <c r="H191" s="385"/>
      <c r="I191" s="385"/>
      <c r="J191" s="385"/>
      <c r="K191" s="385"/>
      <c r="L191" s="385"/>
      <c r="M191" s="385"/>
      <c r="N191" s="385"/>
      <c r="O191" s="385"/>
    </row>
    <row r="192" spans="2:15" ht="15" customHeight="1" x14ac:dyDescent="0.25">
      <c r="B192" s="386"/>
      <c r="C192" s="384"/>
      <c r="F192" s="385"/>
      <c r="G192" s="385"/>
      <c r="H192" s="385"/>
      <c r="I192" s="385"/>
      <c r="J192" s="385"/>
      <c r="K192" s="385"/>
      <c r="L192" s="385"/>
      <c r="M192" s="385"/>
      <c r="N192" s="385"/>
      <c r="O192" s="385"/>
    </row>
    <row r="193" spans="1:15" ht="15" customHeight="1" x14ac:dyDescent="0.25">
      <c r="B193" s="386"/>
      <c r="C193" s="384"/>
      <c r="F193" s="385"/>
      <c r="G193" s="385"/>
      <c r="H193" s="385"/>
      <c r="I193" s="385"/>
      <c r="J193" s="385"/>
      <c r="K193" s="385"/>
      <c r="L193" s="385"/>
      <c r="M193" s="385"/>
      <c r="N193" s="385"/>
      <c r="O193" s="385"/>
    </row>
    <row r="194" spans="1:15" ht="15" customHeight="1" x14ac:dyDescent="0.25">
      <c r="B194" s="389"/>
      <c r="C194" s="384"/>
      <c r="F194" s="385"/>
      <c r="G194" s="385"/>
      <c r="H194" s="385"/>
      <c r="I194" s="385"/>
      <c r="J194" s="385"/>
      <c r="K194" s="385"/>
      <c r="L194" s="385"/>
      <c r="M194" s="385"/>
      <c r="N194" s="385"/>
      <c r="O194" s="385"/>
    </row>
    <row r="195" spans="1:15" ht="15" customHeight="1" x14ac:dyDescent="0.25">
      <c r="C195" s="384"/>
      <c r="F195" s="385"/>
      <c r="G195" s="385"/>
      <c r="H195" s="385"/>
      <c r="I195" s="385"/>
      <c r="J195" s="385"/>
      <c r="K195" s="385"/>
      <c r="L195" s="385"/>
      <c r="M195" s="385"/>
      <c r="N195" s="385"/>
      <c r="O195" s="385"/>
    </row>
    <row r="196" spans="1:15" ht="15" customHeight="1" x14ac:dyDescent="0.25">
      <c r="B196" s="388"/>
      <c r="C196" s="390"/>
      <c r="F196" s="385"/>
      <c r="G196" s="385"/>
      <c r="H196" s="385"/>
      <c r="I196" s="385"/>
      <c r="J196" s="385"/>
      <c r="K196" s="385"/>
      <c r="L196" s="385"/>
      <c r="M196" s="385"/>
      <c r="N196" s="385"/>
      <c r="O196" s="385"/>
    </row>
    <row r="197" spans="1:15" ht="15" customHeight="1" x14ac:dyDescent="0.25">
      <c r="B197" s="389"/>
      <c r="C197" s="384"/>
      <c r="F197" s="385"/>
      <c r="G197" s="385"/>
      <c r="H197" s="385"/>
      <c r="I197" s="385"/>
      <c r="J197" s="385"/>
      <c r="K197" s="385"/>
      <c r="L197" s="385"/>
      <c r="M197" s="385"/>
      <c r="N197" s="385"/>
      <c r="O197" s="385"/>
    </row>
    <row r="198" spans="1:15" ht="15" customHeight="1" x14ac:dyDescent="0.25">
      <c r="B198" s="389"/>
      <c r="C198" s="384"/>
      <c r="F198" s="385"/>
      <c r="G198" s="385"/>
      <c r="H198" s="385"/>
      <c r="I198" s="385"/>
      <c r="J198" s="385"/>
      <c r="K198" s="385"/>
      <c r="L198" s="385"/>
      <c r="M198" s="385"/>
      <c r="N198" s="385"/>
      <c r="O198" s="385"/>
    </row>
    <row r="199" spans="1:15" ht="15" customHeight="1" x14ac:dyDescent="0.25">
      <c r="C199" s="390"/>
      <c r="F199" s="385"/>
      <c r="G199" s="385"/>
      <c r="H199" s="385"/>
      <c r="I199" s="385"/>
      <c r="J199" s="385"/>
      <c r="K199" s="385"/>
      <c r="L199" s="385"/>
      <c r="M199" s="385"/>
      <c r="N199" s="385"/>
      <c r="O199" s="385"/>
    </row>
    <row r="200" spans="1:15" ht="15" customHeight="1" x14ac:dyDescent="0.25">
      <c r="F200" s="385"/>
      <c r="G200" s="385"/>
      <c r="H200" s="385"/>
      <c r="I200" s="385"/>
      <c r="J200" s="385"/>
      <c r="K200" s="385"/>
      <c r="L200" s="385"/>
      <c r="M200" s="385"/>
      <c r="N200" s="385"/>
      <c r="O200" s="385"/>
    </row>
    <row r="201" spans="1:15" ht="15" customHeight="1" x14ac:dyDescent="0.25">
      <c r="M201" s="391"/>
      <c r="N201" s="391"/>
      <c r="O201" s="391"/>
    </row>
    <row r="202" spans="1:15" ht="15" customHeight="1" x14ac:dyDescent="0.25"/>
    <row r="203" spans="1:15" ht="15" customHeight="1" x14ac:dyDescent="0.25">
      <c r="A203" s="381"/>
      <c r="C203" s="381"/>
      <c r="D203" s="382"/>
    </row>
    <row r="204" spans="1:15" ht="15" customHeight="1" x14ac:dyDescent="0.25">
      <c r="B204" s="386"/>
      <c r="C204" s="384"/>
      <c r="D204" s="380"/>
      <c r="F204" s="385"/>
      <c r="G204" s="385"/>
      <c r="H204" s="385"/>
      <c r="I204" s="385"/>
      <c r="J204" s="385"/>
      <c r="K204" s="385"/>
      <c r="L204" s="385"/>
      <c r="M204" s="385"/>
      <c r="N204" s="385"/>
      <c r="O204" s="385"/>
    </row>
    <row r="205" spans="1:15" ht="15" customHeight="1" x14ac:dyDescent="0.25">
      <c r="B205" s="386"/>
      <c r="C205" s="384"/>
      <c r="D205" s="380"/>
      <c r="E205" s="380"/>
      <c r="F205" s="387"/>
      <c r="G205" s="387"/>
      <c r="H205" s="387"/>
      <c r="I205" s="387"/>
      <c r="J205" s="387"/>
      <c r="K205" s="387"/>
      <c r="L205" s="387"/>
      <c r="M205" s="387"/>
      <c r="N205" s="387"/>
      <c r="O205" s="387"/>
    </row>
    <row r="206" spans="1:15" ht="15" customHeight="1" x14ac:dyDescent="0.25">
      <c r="B206" s="386"/>
      <c r="C206" s="384"/>
      <c r="F206" s="385"/>
      <c r="G206" s="385"/>
      <c r="H206" s="385"/>
      <c r="I206" s="385"/>
      <c r="J206" s="385"/>
      <c r="K206" s="385"/>
      <c r="L206" s="385"/>
      <c r="M206" s="385"/>
      <c r="N206" s="385"/>
      <c r="O206" s="385"/>
    </row>
    <row r="207" spans="1:15" ht="15" customHeight="1" x14ac:dyDescent="0.25">
      <c r="B207" s="386"/>
      <c r="C207" s="384"/>
      <c r="F207" s="385"/>
      <c r="G207" s="385"/>
      <c r="H207" s="385"/>
      <c r="I207" s="385"/>
      <c r="J207" s="385"/>
      <c r="K207" s="385"/>
      <c r="L207" s="385"/>
      <c r="M207" s="385"/>
      <c r="N207" s="385"/>
      <c r="O207" s="385"/>
    </row>
    <row r="208" spans="1:15" ht="15" customHeight="1" x14ac:dyDescent="0.25">
      <c r="B208" s="386"/>
      <c r="C208" s="384"/>
      <c r="F208" s="385"/>
      <c r="G208" s="385"/>
      <c r="H208" s="385"/>
      <c r="I208" s="385"/>
      <c r="J208" s="385"/>
      <c r="K208" s="385"/>
      <c r="L208" s="385"/>
      <c r="M208" s="385"/>
      <c r="N208" s="385"/>
      <c r="O208" s="385"/>
    </row>
    <row r="209" spans="2:15" ht="15" customHeight="1" x14ac:dyDescent="0.25">
      <c r="B209" s="386"/>
      <c r="C209" s="384"/>
      <c r="F209" s="385"/>
      <c r="G209" s="385"/>
      <c r="H209" s="385"/>
      <c r="I209" s="385"/>
      <c r="J209" s="385"/>
      <c r="K209" s="385"/>
      <c r="L209" s="385"/>
      <c r="M209" s="385"/>
      <c r="N209" s="385"/>
      <c r="O209" s="385"/>
    </row>
    <row r="210" spans="2:15" ht="15" customHeight="1" x14ac:dyDescent="0.25">
      <c r="B210" s="388"/>
      <c r="C210" s="384"/>
      <c r="F210" s="385"/>
      <c r="G210" s="385"/>
      <c r="H210" s="385"/>
      <c r="I210" s="385"/>
      <c r="J210" s="385"/>
      <c r="K210" s="385"/>
      <c r="L210" s="385"/>
      <c r="M210" s="385"/>
      <c r="N210" s="385"/>
      <c r="O210" s="385"/>
    </row>
    <row r="211" spans="2:15" ht="15" customHeight="1" x14ac:dyDescent="0.25">
      <c r="C211" s="384"/>
      <c r="F211" s="385"/>
      <c r="G211" s="385"/>
      <c r="H211" s="385"/>
      <c r="I211" s="385"/>
      <c r="J211" s="385"/>
      <c r="K211" s="385"/>
      <c r="L211" s="385"/>
      <c r="M211" s="385"/>
      <c r="N211" s="385"/>
      <c r="O211" s="385"/>
    </row>
    <row r="212" spans="2:15" ht="15" customHeight="1" x14ac:dyDescent="0.25">
      <c r="B212" s="386"/>
      <c r="C212" s="384"/>
      <c r="F212" s="385"/>
      <c r="G212" s="385"/>
      <c r="H212" s="385"/>
      <c r="I212" s="385"/>
      <c r="J212" s="385"/>
      <c r="K212" s="385"/>
      <c r="L212" s="385"/>
      <c r="M212" s="385"/>
      <c r="N212" s="385"/>
      <c r="O212" s="385"/>
    </row>
    <row r="213" spans="2:15" ht="15" customHeight="1" x14ac:dyDescent="0.25">
      <c r="B213" s="386"/>
      <c r="C213" s="384"/>
      <c r="F213" s="385"/>
      <c r="G213" s="385"/>
      <c r="H213" s="385"/>
      <c r="I213" s="385"/>
      <c r="J213" s="385"/>
      <c r="K213" s="385"/>
      <c r="L213" s="385"/>
      <c r="M213" s="385"/>
      <c r="N213" s="385"/>
      <c r="O213" s="385"/>
    </row>
    <row r="214" spans="2:15" ht="15" customHeight="1" x14ac:dyDescent="0.25">
      <c r="B214" s="386"/>
      <c r="C214" s="384"/>
      <c r="F214" s="385"/>
      <c r="G214" s="385"/>
      <c r="H214" s="385"/>
      <c r="I214" s="385"/>
      <c r="J214" s="385"/>
      <c r="K214" s="385"/>
      <c r="L214" s="385"/>
      <c r="M214" s="385"/>
      <c r="N214" s="385"/>
      <c r="O214" s="385"/>
    </row>
    <row r="215" spans="2:15" ht="15" customHeight="1" x14ac:dyDescent="0.25">
      <c r="B215" s="386"/>
      <c r="C215" s="384"/>
      <c r="F215" s="385"/>
      <c r="G215" s="385"/>
      <c r="H215" s="385"/>
      <c r="I215" s="385"/>
      <c r="J215" s="385"/>
      <c r="K215" s="385"/>
      <c r="L215" s="385"/>
      <c r="M215" s="385"/>
      <c r="N215" s="385"/>
      <c r="O215" s="385"/>
    </row>
    <row r="216" spans="2:15" ht="15" customHeight="1" x14ac:dyDescent="0.25">
      <c r="C216" s="384"/>
      <c r="F216" s="385"/>
      <c r="G216" s="385"/>
      <c r="H216" s="385"/>
      <c r="I216" s="385"/>
      <c r="J216" s="385"/>
      <c r="K216" s="385"/>
      <c r="L216" s="385"/>
      <c r="M216" s="385"/>
      <c r="N216" s="385"/>
      <c r="O216" s="385"/>
    </row>
    <row r="217" spans="2:15" ht="15" customHeight="1" x14ac:dyDescent="0.25">
      <c r="B217" s="386"/>
      <c r="C217" s="384"/>
      <c r="F217" s="385"/>
      <c r="G217" s="385"/>
      <c r="H217" s="385"/>
      <c r="I217" s="385"/>
      <c r="J217" s="385"/>
      <c r="K217" s="385"/>
      <c r="L217" s="385"/>
      <c r="M217" s="385"/>
      <c r="N217" s="385"/>
      <c r="O217" s="385"/>
    </row>
    <row r="218" spans="2:15" ht="15" customHeight="1" x14ac:dyDescent="0.25">
      <c r="B218" s="386"/>
      <c r="C218" s="384"/>
      <c r="F218" s="385"/>
      <c r="G218" s="385"/>
      <c r="H218" s="385"/>
      <c r="I218" s="385"/>
      <c r="J218" s="385"/>
      <c r="K218" s="385"/>
      <c r="L218" s="385"/>
      <c r="M218" s="385"/>
      <c r="N218" s="385"/>
      <c r="O218" s="385"/>
    </row>
    <row r="219" spans="2:15" ht="15" customHeight="1" x14ac:dyDescent="0.25">
      <c r="B219" s="386"/>
      <c r="C219" s="384"/>
      <c r="F219" s="385"/>
      <c r="G219" s="385"/>
      <c r="H219" s="385"/>
      <c r="I219" s="385"/>
      <c r="J219" s="385"/>
      <c r="K219" s="385"/>
      <c r="L219" s="385"/>
      <c r="M219" s="385"/>
      <c r="N219" s="385"/>
      <c r="O219" s="385"/>
    </row>
    <row r="220" spans="2:15" ht="15" customHeight="1" x14ac:dyDescent="0.25">
      <c r="B220" s="388"/>
      <c r="C220" s="384"/>
      <c r="F220" s="385"/>
      <c r="G220" s="385"/>
      <c r="H220" s="385"/>
      <c r="I220" s="385"/>
      <c r="J220" s="385"/>
      <c r="K220" s="385"/>
      <c r="L220" s="385"/>
      <c r="M220" s="385"/>
      <c r="N220" s="385"/>
      <c r="O220" s="385"/>
    </row>
    <row r="221" spans="2:15" ht="15" customHeight="1" x14ac:dyDescent="0.25">
      <c r="B221" s="386"/>
      <c r="C221" s="384"/>
      <c r="F221" s="385"/>
      <c r="G221" s="385"/>
      <c r="H221" s="385"/>
      <c r="I221" s="385"/>
      <c r="J221" s="385"/>
      <c r="K221" s="385"/>
      <c r="L221" s="385"/>
      <c r="M221" s="385"/>
      <c r="N221" s="385"/>
      <c r="O221" s="385"/>
    </row>
    <row r="222" spans="2:15" ht="15" customHeight="1" x14ac:dyDescent="0.25">
      <c r="B222" s="386"/>
      <c r="C222" s="384"/>
      <c r="F222" s="385"/>
      <c r="G222" s="385"/>
      <c r="H222" s="385"/>
      <c r="I222" s="385"/>
      <c r="J222" s="385"/>
      <c r="K222" s="385"/>
      <c r="L222" s="385"/>
      <c r="M222" s="385"/>
      <c r="N222" s="385"/>
      <c r="O222" s="385"/>
    </row>
    <row r="223" spans="2:15" ht="15" customHeight="1" x14ac:dyDescent="0.25">
      <c r="B223" s="386"/>
      <c r="C223" s="384"/>
      <c r="F223" s="385"/>
      <c r="G223" s="385"/>
      <c r="H223" s="385"/>
      <c r="I223" s="385"/>
      <c r="J223" s="385"/>
      <c r="K223" s="385"/>
      <c r="L223" s="385"/>
      <c r="M223" s="385"/>
      <c r="N223" s="385"/>
      <c r="O223" s="385"/>
    </row>
    <row r="224" spans="2:15" ht="15" customHeight="1" x14ac:dyDescent="0.25">
      <c r="B224" s="386"/>
      <c r="C224" s="384"/>
      <c r="F224" s="385"/>
      <c r="G224" s="385"/>
      <c r="H224" s="385"/>
      <c r="I224" s="385"/>
      <c r="J224" s="385"/>
      <c r="K224" s="385"/>
      <c r="L224" s="385"/>
      <c r="M224" s="385"/>
      <c r="N224" s="385"/>
      <c r="O224" s="385"/>
    </row>
    <row r="225" spans="2:15" ht="15" customHeight="1" x14ac:dyDescent="0.25">
      <c r="B225" s="386"/>
      <c r="C225" s="384"/>
      <c r="F225" s="385"/>
      <c r="G225" s="385"/>
      <c r="H225" s="385"/>
      <c r="I225" s="385"/>
      <c r="J225" s="385"/>
      <c r="K225" s="385"/>
      <c r="L225" s="385"/>
      <c r="M225" s="385"/>
      <c r="N225" s="385"/>
      <c r="O225" s="385"/>
    </row>
    <row r="226" spans="2:15" ht="15" customHeight="1" x14ac:dyDescent="0.25">
      <c r="B226" s="386"/>
      <c r="C226" s="384"/>
      <c r="F226" s="385"/>
      <c r="G226" s="385"/>
      <c r="H226" s="385"/>
      <c r="I226" s="385"/>
      <c r="J226" s="385"/>
      <c r="K226" s="385"/>
      <c r="L226" s="385"/>
      <c r="M226" s="385"/>
      <c r="N226" s="385"/>
      <c r="O226" s="385"/>
    </row>
    <row r="227" spans="2:15" ht="15" customHeight="1" x14ac:dyDescent="0.25">
      <c r="B227" s="386"/>
      <c r="C227" s="384"/>
      <c r="F227" s="385"/>
      <c r="G227" s="385"/>
      <c r="H227" s="385"/>
      <c r="I227" s="385"/>
      <c r="J227" s="385"/>
      <c r="K227" s="385"/>
      <c r="L227" s="385"/>
      <c r="M227" s="385"/>
      <c r="N227" s="385"/>
      <c r="O227" s="385"/>
    </row>
    <row r="228" spans="2:15" ht="15" customHeight="1" x14ac:dyDescent="0.25">
      <c r="B228" s="386"/>
      <c r="C228" s="384"/>
      <c r="F228" s="385"/>
      <c r="G228" s="385"/>
      <c r="H228" s="385"/>
      <c r="I228" s="385"/>
      <c r="J228" s="385"/>
      <c r="K228" s="385"/>
      <c r="L228" s="385"/>
      <c r="M228" s="385"/>
      <c r="N228" s="385"/>
      <c r="O228" s="385"/>
    </row>
    <row r="229" spans="2:15" ht="15" customHeight="1" x14ac:dyDescent="0.25">
      <c r="B229" s="389"/>
      <c r="C229" s="384"/>
      <c r="F229" s="385"/>
      <c r="G229" s="385"/>
      <c r="H229" s="385"/>
      <c r="I229" s="385"/>
      <c r="J229" s="385"/>
      <c r="K229" s="385"/>
      <c r="L229" s="385"/>
      <c r="M229" s="385"/>
      <c r="N229" s="385"/>
      <c r="O229" s="385"/>
    </row>
    <row r="230" spans="2:15" ht="15" customHeight="1" x14ac:dyDescent="0.25">
      <c r="C230" s="384"/>
      <c r="F230" s="385"/>
      <c r="G230" s="385"/>
      <c r="H230" s="385"/>
      <c r="I230" s="385"/>
      <c r="J230" s="385"/>
      <c r="K230" s="385"/>
      <c r="L230" s="385"/>
      <c r="M230" s="385"/>
      <c r="N230" s="385"/>
      <c r="O230" s="385"/>
    </row>
    <row r="231" spans="2:15" ht="15" customHeight="1" x14ac:dyDescent="0.25">
      <c r="B231" s="389"/>
      <c r="C231" s="384"/>
      <c r="F231" s="385"/>
      <c r="G231" s="385"/>
      <c r="H231" s="385"/>
      <c r="I231" s="385"/>
      <c r="J231" s="385"/>
      <c r="K231" s="385"/>
      <c r="L231" s="385"/>
      <c r="M231" s="385"/>
      <c r="N231" s="385"/>
      <c r="O231" s="385"/>
    </row>
    <row r="232" spans="2:15" ht="15" customHeight="1" x14ac:dyDescent="0.25">
      <c r="C232" s="384"/>
      <c r="F232" s="385"/>
      <c r="G232" s="385"/>
      <c r="H232" s="385"/>
      <c r="I232" s="385"/>
      <c r="J232" s="385"/>
      <c r="K232" s="385"/>
      <c r="L232" s="385"/>
      <c r="M232" s="385"/>
      <c r="N232" s="385"/>
      <c r="O232" s="385"/>
    </row>
    <row r="233" spans="2:15" ht="15" customHeight="1" x14ac:dyDescent="0.25">
      <c r="B233" s="386"/>
      <c r="C233" s="384"/>
      <c r="F233" s="385"/>
      <c r="G233" s="385"/>
      <c r="H233" s="385"/>
      <c r="I233" s="385"/>
      <c r="J233" s="385"/>
      <c r="K233" s="385"/>
      <c r="L233" s="385"/>
      <c r="M233" s="385"/>
      <c r="N233" s="385"/>
      <c r="O233" s="385"/>
    </row>
    <row r="234" spans="2:15" ht="15" customHeight="1" x14ac:dyDescent="0.25">
      <c r="B234" s="386"/>
      <c r="C234" s="384"/>
      <c r="F234" s="385"/>
      <c r="G234" s="385"/>
      <c r="H234" s="385"/>
      <c r="I234" s="385"/>
      <c r="J234" s="385"/>
      <c r="K234" s="385"/>
      <c r="L234" s="385"/>
      <c r="M234" s="385"/>
      <c r="N234" s="385"/>
      <c r="O234" s="385"/>
    </row>
    <row r="235" spans="2:15" ht="15" customHeight="1" x14ac:dyDescent="0.25">
      <c r="B235" s="386"/>
      <c r="C235" s="384"/>
      <c r="F235" s="385"/>
      <c r="G235" s="385"/>
      <c r="H235" s="385"/>
      <c r="I235" s="385"/>
      <c r="J235" s="385"/>
      <c r="K235" s="385"/>
      <c r="L235" s="385"/>
      <c r="M235" s="385"/>
      <c r="N235" s="385"/>
      <c r="O235" s="385"/>
    </row>
    <row r="236" spans="2:15" ht="15" customHeight="1" x14ac:dyDescent="0.25">
      <c r="B236" s="389"/>
      <c r="C236" s="384"/>
      <c r="F236" s="385"/>
      <c r="G236" s="385"/>
      <c r="H236" s="385"/>
      <c r="I236" s="385"/>
      <c r="J236" s="385"/>
      <c r="K236" s="385"/>
      <c r="L236" s="385"/>
      <c r="M236" s="385"/>
      <c r="N236" s="385"/>
      <c r="O236" s="385"/>
    </row>
    <row r="237" spans="2:15" ht="15" customHeight="1" x14ac:dyDescent="0.25">
      <c r="C237" s="384"/>
      <c r="F237" s="385"/>
      <c r="G237" s="385"/>
      <c r="H237" s="385"/>
      <c r="I237" s="385"/>
      <c r="J237" s="385"/>
      <c r="K237" s="385"/>
      <c r="L237" s="385"/>
      <c r="M237" s="385"/>
      <c r="N237" s="385"/>
      <c r="O237" s="385"/>
    </row>
    <row r="238" spans="2:15" ht="15" customHeight="1" x14ac:dyDescent="0.25">
      <c r="B238" s="386"/>
      <c r="C238" s="384"/>
      <c r="F238" s="385"/>
      <c r="G238" s="385"/>
      <c r="H238" s="385"/>
      <c r="I238" s="385"/>
      <c r="J238" s="385"/>
      <c r="K238" s="385"/>
      <c r="L238" s="385"/>
      <c r="M238" s="385"/>
      <c r="N238" s="385"/>
      <c r="O238" s="385"/>
    </row>
    <row r="239" spans="2:15" ht="15" customHeight="1" x14ac:dyDescent="0.25">
      <c r="B239" s="386"/>
      <c r="C239" s="384"/>
      <c r="F239" s="385"/>
      <c r="G239" s="385"/>
      <c r="H239" s="385"/>
      <c r="I239" s="385"/>
      <c r="J239" s="385"/>
      <c r="K239" s="385"/>
      <c r="L239" s="385"/>
      <c r="M239" s="385"/>
      <c r="N239" s="385"/>
      <c r="O239" s="385"/>
    </row>
    <row r="240" spans="2:15" ht="15" customHeight="1" x14ac:dyDescent="0.25">
      <c r="B240" s="389"/>
      <c r="C240" s="384"/>
      <c r="F240" s="385"/>
      <c r="G240" s="385"/>
      <c r="H240" s="385"/>
      <c r="I240" s="385"/>
      <c r="J240" s="385"/>
      <c r="K240" s="385"/>
      <c r="L240" s="385"/>
      <c r="M240" s="385"/>
      <c r="N240" s="385"/>
      <c r="O240" s="385"/>
    </row>
    <row r="241" spans="1:15" ht="15" customHeight="1" x14ac:dyDescent="0.25">
      <c r="C241" s="384"/>
      <c r="F241" s="385"/>
      <c r="G241" s="385"/>
      <c r="H241" s="385"/>
      <c r="I241" s="385"/>
      <c r="J241" s="385"/>
      <c r="K241" s="385"/>
      <c r="L241" s="385"/>
      <c r="M241" s="385"/>
      <c r="N241" s="385"/>
      <c r="O241" s="385"/>
    </row>
    <row r="242" spans="1:15" ht="15" customHeight="1" x14ac:dyDescent="0.25">
      <c r="B242" s="388"/>
      <c r="C242" s="390"/>
      <c r="F242" s="385"/>
      <c r="G242" s="385"/>
      <c r="H242" s="385"/>
      <c r="I242" s="385"/>
      <c r="J242" s="385"/>
      <c r="K242" s="385"/>
      <c r="L242" s="385"/>
      <c r="M242" s="385"/>
      <c r="N242" s="385"/>
      <c r="O242" s="385"/>
    </row>
    <row r="243" spans="1:15" ht="15" customHeight="1" x14ac:dyDescent="0.25">
      <c r="B243" s="389"/>
      <c r="C243" s="384"/>
      <c r="F243" s="385"/>
      <c r="G243" s="385"/>
      <c r="H243" s="385"/>
      <c r="I243" s="385"/>
      <c r="J243" s="385"/>
      <c r="K243" s="385"/>
      <c r="L243" s="385"/>
      <c r="M243" s="385"/>
      <c r="N243" s="385"/>
      <c r="O243" s="385"/>
    </row>
    <row r="244" spans="1:15" ht="15" customHeight="1" x14ac:dyDescent="0.25">
      <c r="B244" s="389"/>
      <c r="C244" s="384"/>
      <c r="F244" s="385"/>
      <c r="G244" s="385"/>
      <c r="H244" s="385"/>
      <c r="I244" s="385"/>
      <c r="J244" s="385"/>
      <c r="K244" s="385"/>
      <c r="L244" s="385"/>
      <c r="M244" s="385"/>
      <c r="N244" s="385"/>
      <c r="O244" s="385"/>
    </row>
    <row r="245" spans="1:15" ht="15" customHeight="1" x14ac:dyDescent="0.25">
      <c r="C245" s="390"/>
      <c r="F245" s="385"/>
      <c r="G245" s="385"/>
      <c r="H245" s="385"/>
      <c r="I245" s="385"/>
      <c r="J245" s="385"/>
      <c r="K245" s="385"/>
      <c r="L245" s="385"/>
      <c r="M245" s="385"/>
      <c r="N245" s="385"/>
      <c r="O245" s="385"/>
    </row>
    <row r="246" spans="1:15" ht="15" customHeight="1" x14ac:dyDescent="0.25">
      <c r="F246" s="385"/>
      <c r="G246" s="385"/>
      <c r="H246" s="385"/>
      <c r="I246" s="385"/>
      <c r="J246" s="385"/>
      <c r="K246" s="385"/>
      <c r="L246" s="385"/>
      <c r="M246" s="385"/>
      <c r="N246" s="385"/>
      <c r="O246" s="385"/>
    </row>
    <row r="247" spans="1:15" ht="15" customHeight="1" x14ac:dyDescent="0.25">
      <c r="M247" s="391"/>
      <c r="N247" s="391"/>
      <c r="O247" s="391"/>
    </row>
    <row r="248" spans="1:15" ht="15" customHeight="1" x14ac:dyDescent="0.25"/>
    <row r="249" spans="1:15" ht="15" customHeight="1" x14ac:dyDescent="0.25"/>
    <row r="250" spans="1:15" ht="15" customHeight="1" x14ac:dyDescent="0.25">
      <c r="A250" s="381"/>
      <c r="C250" s="381"/>
      <c r="D250" s="382"/>
    </row>
    <row r="251" spans="1:15" ht="15" customHeight="1" x14ac:dyDescent="0.25">
      <c r="B251" s="386"/>
      <c r="C251" s="384"/>
      <c r="D251" s="380"/>
      <c r="F251" s="385"/>
      <c r="G251" s="385"/>
      <c r="H251" s="385"/>
      <c r="I251" s="385"/>
      <c r="J251" s="385"/>
      <c r="K251" s="385"/>
      <c r="L251" s="385"/>
      <c r="M251" s="385"/>
      <c r="N251" s="385"/>
      <c r="O251" s="385"/>
    </row>
    <row r="252" spans="1:15" ht="15" customHeight="1" x14ac:dyDescent="0.25">
      <c r="B252" s="386"/>
      <c r="C252" s="384"/>
      <c r="D252" s="380"/>
      <c r="E252" s="380"/>
      <c r="F252" s="387"/>
      <c r="G252" s="387"/>
      <c r="H252" s="387"/>
      <c r="I252" s="387"/>
      <c r="J252" s="387"/>
      <c r="K252" s="387"/>
      <c r="L252" s="387"/>
      <c r="M252" s="387"/>
      <c r="N252" s="387"/>
      <c r="O252" s="387"/>
    </row>
    <row r="253" spans="1:15" ht="15" customHeight="1" x14ac:dyDescent="0.25">
      <c r="B253" s="386"/>
      <c r="C253" s="384"/>
      <c r="F253" s="385"/>
      <c r="G253" s="385"/>
      <c r="H253" s="385"/>
      <c r="I253" s="385"/>
      <c r="J253" s="385"/>
      <c r="K253" s="385"/>
      <c r="L253" s="385"/>
      <c r="M253" s="385"/>
      <c r="N253" s="385"/>
      <c r="O253" s="385"/>
    </row>
    <row r="254" spans="1:15" ht="15" customHeight="1" x14ac:dyDescent="0.25">
      <c r="B254" s="386"/>
      <c r="C254" s="384"/>
      <c r="F254" s="385"/>
      <c r="G254" s="385"/>
      <c r="H254" s="385"/>
      <c r="I254" s="385"/>
      <c r="J254" s="385"/>
      <c r="K254" s="385"/>
      <c r="L254" s="385"/>
      <c r="M254" s="385"/>
      <c r="N254" s="385"/>
      <c r="O254" s="385"/>
    </row>
    <row r="255" spans="1:15" ht="15" customHeight="1" x14ac:dyDescent="0.25">
      <c r="B255" s="386"/>
      <c r="C255" s="384"/>
      <c r="F255" s="385"/>
      <c r="G255" s="385"/>
      <c r="H255" s="385"/>
      <c r="I255" s="385"/>
      <c r="J255" s="385"/>
      <c r="K255" s="385"/>
      <c r="L255" s="385"/>
      <c r="M255" s="385"/>
      <c r="N255" s="385"/>
      <c r="O255" s="385"/>
    </row>
    <row r="256" spans="1:15" ht="15" customHeight="1" x14ac:dyDescent="0.25">
      <c r="B256" s="386"/>
      <c r="C256" s="384"/>
      <c r="F256" s="385"/>
      <c r="G256" s="385"/>
      <c r="H256" s="385"/>
      <c r="I256" s="385"/>
      <c r="J256" s="385"/>
      <c r="K256" s="385"/>
      <c r="L256" s="385"/>
      <c r="M256" s="385"/>
      <c r="N256" s="385"/>
      <c r="O256" s="385"/>
    </row>
    <row r="257" spans="2:15" ht="15" customHeight="1" x14ac:dyDescent="0.25">
      <c r="B257" s="388"/>
      <c r="C257" s="384"/>
      <c r="F257" s="385"/>
      <c r="G257" s="385"/>
      <c r="H257" s="385"/>
      <c r="I257" s="385"/>
      <c r="J257" s="385"/>
      <c r="K257" s="385"/>
      <c r="L257" s="385"/>
      <c r="M257" s="385"/>
      <c r="N257" s="385"/>
      <c r="O257" s="385"/>
    </row>
    <row r="258" spans="2:15" ht="15" customHeight="1" x14ac:dyDescent="0.25">
      <c r="C258" s="384"/>
      <c r="F258" s="385"/>
      <c r="G258" s="385"/>
      <c r="H258" s="385"/>
      <c r="I258" s="385"/>
      <c r="J258" s="385"/>
      <c r="K258" s="385"/>
      <c r="L258" s="385"/>
      <c r="M258" s="385"/>
      <c r="N258" s="385"/>
      <c r="O258" s="385"/>
    </row>
    <row r="259" spans="2:15" ht="15" customHeight="1" x14ac:dyDescent="0.25">
      <c r="B259" s="386"/>
      <c r="C259" s="384"/>
      <c r="F259" s="385"/>
      <c r="G259" s="385"/>
      <c r="H259" s="385"/>
      <c r="I259" s="385"/>
      <c r="J259" s="385"/>
      <c r="K259" s="385"/>
      <c r="L259" s="385"/>
      <c r="M259" s="385"/>
      <c r="N259" s="385"/>
      <c r="O259" s="385"/>
    </row>
    <row r="260" spans="2:15" ht="15" customHeight="1" x14ac:dyDescent="0.25">
      <c r="B260" s="386"/>
      <c r="C260" s="384"/>
      <c r="F260" s="385"/>
      <c r="G260" s="385"/>
      <c r="H260" s="385"/>
      <c r="I260" s="385"/>
      <c r="J260" s="385"/>
      <c r="K260" s="385"/>
      <c r="L260" s="385"/>
      <c r="M260" s="385"/>
      <c r="N260" s="385"/>
      <c r="O260" s="385"/>
    </row>
    <row r="261" spans="2:15" ht="15" customHeight="1" x14ac:dyDescent="0.25">
      <c r="B261" s="386"/>
      <c r="C261" s="384"/>
      <c r="F261" s="385"/>
      <c r="G261" s="385"/>
      <c r="H261" s="385"/>
      <c r="I261" s="385"/>
      <c r="J261" s="385"/>
      <c r="K261" s="385"/>
      <c r="L261" s="385"/>
      <c r="M261" s="385"/>
      <c r="N261" s="385"/>
      <c r="O261" s="385"/>
    </row>
    <row r="262" spans="2:15" ht="15" customHeight="1" x14ac:dyDescent="0.25">
      <c r="B262" s="386"/>
      <c r="C262" s="384"/>
      <c r="F262" s="385"/>
      <c r="G262" s="385"/>
      <c r="H262" s="385"/>
      <c r="I262" s="385"/>
      <c r="J262" s="385"/>
      <c r="K262" s="385"/>
      <c r="L262" s="385"/>
      <c r="M262" s="385"/>
      <c r="N262" s="385"/>
      <c r="O262" s="385"/>
    </row>
    <row r="263" spans="2:15" ht="15" customHeight="1" x14ac:dyDescent="0.25">
      <c r="C263" s="384"/>
      <c r="F263" s="385"/>
      <c r="G263" s="385"/>
      <c r="H263" s="385"/>
      <c r="I263" s="385"/>
      <c r="J263" s="385"/>
      <c r="K263" s="385"/>
      <c r="L263" s="385"/>
      <c r="M263" s="385"/>
      <c r="N263" s="385"/>
      <c r="O263" s="385"/>
    </row>
    <row r="264" spans="2:15" ht="15" customHeight="1" x14ac:dyDescent="0.25">
      <c r="B264" s="386"/>
      <c r="C264" s="384"/>
      <c r="F264" s="385"/>
      <c r="G264" s="385"/>
      <c r="H264" s="385"/>
      <c r="I264" s="385"/>
      <c r="J264" s="385"/>
      <c r="K264" s="385"/>
      <c r="L264" s="385"/>
      <c r="M264" s="385"/>
      <c r="N264" s="385"/>
      <c r="O264" s="385"/>
    </row>
    <row r="265" spans="2:15" ht="15" customHeight="1" x14ac:dyDescent="0.25">
      <c r="B265" s="386"/>
      <c r="C265" s="384"/>
      <c r="F265" s="385"/>
      <c r="G265" s="385"/>
      <c r="H265" s="385"/>
      <c r="I265" s="385"/>
      <c r="J265" s="385"/>
      <c r="K265" s="385"/>
      <c r="L265" s="385"/>
      <c r="M265" s="385"/>
      <c r="N265" s="385"/>
      <c r="O265" s="385"/>
    </row>
    <row r="266" spans="2:15" ht="15" customHeight="1" x14ac:dyDescent="0.25">
      <c r="B266" s="386"/>
      <c r="C266" s="384"/>
      <c r="F266" s="385"/>
      <c r="G266" s="385"/>
      <c r="H266" s="385"/>
      <c r="I266" s="385"/>
      <c r="J266" s="385"/>
      <c r="K266" s="385"/>
      <c r="L266" s="385"/>
      <c r="M266" s="385"/>
      <c r="N266" s="385"/>
      <c r="O266" s="385"/>
    </row>
    <row r="267" spans="2:15" ht="15" customHeight="1" x14ac:dyDescent="0.25">
      <c r="B267" s="388"/>
      <c r="C267" s="384"/>
      <c r="F267" s="385"/>
      <c r="G267" s="385"/>
      <c r="H267" s="385"/>
      <c r="I267" s="385"/>
      <c r="J267" s="385"/>
      <c r="K267" s="385"/>
      <c r="L267" s="385"/>
      <c r="M267" s="385"/>
      <c r="N267" s="385"/>
      <c r="O267" s="385"/>
    </row>
    <row r="268" spans="2:15" ht="15" customHeight="1" x14ac:dyDescent="0.25">
      <c r="B268" s="386"/>
      <c r="C268" s="384"/>
      <c r="F268" s="385"/>
      <c r="G268" s="385"/>
      <c r="H268" s="385"/>
      <c r="I268" s="385"/>
      <c r="J268" s="385"/>
      <c r="K268" s="385"/>
      <c r="L268" s="385"/>
      <c r="M268" s="385"/>
      <c r="N268" s="385"/>
      <c r="O268" s="385"/>
    </row>
    <row r="269" spans="2:15" ht="15" customHeight="1" x14ac:dyDescent="0.25">
      <c r="B269" s="386"/>
      <c r="C269" s="384"/>
      <c r="F269" s="385"/>
      <c r="G269" s="385"/>
      <c r="H269" s="385"/>
      <c r="I269" s="385"/>
      <c r="J269" s="385"/>
      <c r="K269" s="385"/>
      <c r="L269" s="385"/>
      <c r="M269" s="385"/>
      <c r="N269" s="385"/>
      <c r="O269" s="385"/>
    </row>
    <row r="270" spans="2:15" ht="15" customHeight="1" x14ac:dyDescent="0.25">
      <c r="B270" s="386"/>
      <c r="C270" s="384"/>
      <c r="F270" s="385"/>
      <c r="G270" s="385"/>
      <c r="H270" s="385"/>
      <c r="I270" s="385"/>
      <c r="J270" s="385"/>
      <c r="K270" s="385"/>
      <c r="L270" s="385"/>
      <c r="M270" s="385"/>
      <c r="N270" s="385"/>
      <c r="O270" s="385"/>
    </row>
    <row r="271" spans="2:15" ht="15" customHeight="1" x14ac:dyDescent="0.25">
      <c r="B271" s="386"/>
      <c r="C271" s="384"/>
      <c r="F271" s="385"/>
      <c r="G271" s="385"/>
      <c r="H271" s="385"/>
      <c r="I271" s="385"/>
      <c r="J271" s="385"/>
      <c r="K271" s="385"/>
      <c r="L271" s="385"/>
      <c r="M271" s="385"/>
      <c r="N271" s="385"/>
      <c r="O271" s="385"/>
    </row>
    <row r="272" spans="2:15" ht="15" customHeight="1" x14ac:dyDescent="0.25">
      <c r="B272" s="386"/>
      <c r="C272" s="384"/>
      <c r="F272" s="385"/>
      <c r="G272" s="385"/>
      <c r="H272" s="385"/>
      <c r="I272" s="385"/>
      <c r="J272" s="385"/>
      <c r="K272" s="385"/>
      <c r="L272" s="385"/>
      <c r="M272" s="385"/>
      <c r="N272" s="385"/>
      <c r="O272" s="385"/>
    </row>
    <row r="273" spans="2:15" ht="15" customHeight="1" x14ac:dyDescent="0.25">
      <c r="B273" s="386"/>
      <c r="C273" s="384"/>
      <c r="F273" s="385"/>
      <c r="G273" s="385"/>
      <c r="H273" s="385"/>
      <c r="I273" s="385"/>
      <c r="J273" s="385"/>
      <c r="K273" s="385"/>
      <c r="L273" s="385"/>
      <c r="M273" s="385"/>
      <c r="N273" s="385"/>
      <c r="O273" s="385"/>
    </row>
    <row r="274" spans="2:15" ht="15" customHeight="1" x14ac:dyDescent="0.25">
      <c r="B274" s="386"/>
      <c r="C274" s="384"/>
      <c r="F274" s="385"/>
      <c r="G274" s="385"/>
      <c r="H274" s="385"/>
      <c r="I274" s="385"/>
      <c r="J274" s="385"/>
      <c r="K274" s="385"/>
      <c r="L274" s="385"/>
      <c r="M274" s="385"/>
      <c r="N274" s="385"/>
      <c r="O274" s="385"/>
    </row>
    <row r="275" spans="2:15" ht="15" customHeight="1" x14ac:dyDescent="0.25">
      <c r="B275" s="386"/>
      <c r="C275" s="384"/>
      <c r="F275" s="385"/>
      <c r="G275" s="385"/>
      <c r="H275" s="385"/>
      <c r="I275" s="385"/>
      <c r="J275" s="385"/>
      <c r="K275" s="385"/>
      <c r="L275" s="385"/>
      <c r="M275" s="385"/>
      <c r="N275" s="385"/>
      <c r="O275" s="385"/>
    </row>
    <row r="276" spans="2:15" ht="15" customHeight="1" x14ac:dyDescent="0.25">
      <c r="B276" s="389"/>
      <c r="C276" s="384"/>
      <c r="F276" s="385"/>
      <c r="G276" s="385"/>
      <c r="H276" s="385"/>
      <c r="I276" s="385"/>
      <c r="J276" s="385"/>
      <c r="K276" s="385"/>
      <c r="L276" s="385"/>
      <c r="M276" s="385"/>
      <c r="N276" s="385"/>
      <c r="O276" s="385"/>
    </row>
    <row r="277" spans="2:15" ht="15" customHeight="1" x14ac:dyDescent="0.25">
      <c r="C277" s="384"/>
      <c r="F277" s="385"/>
      <c r="G277" s="385"/>
      <c r="H277" s="385"/>
      <c r="I277" s="385"/>
      <c r="J277" s="385"/>
      <c r="K277" s="385"/>
      <c r="L277" s="385"/>
      <c r="M277" s="385"/>
      <c r="N277" s="385"/>
      <c r="O277" s="385"/>
    </row>
    <row r="278" spans="2:15" ht="15" customHeight="1" x14ac:dyDescent="0.25">
      <c r="B278" s="389"/>
      <c r="C278" s="384"/>
      <c r="F278" s="385"/>
      <c r="G278" s="385"/>
      <c r="H278" s="385"/>
      <c r="I278" s="385"/>
      <c r="J278" s="385"/>
      <c r="K278" s="385"/>
      <c r="L278" s="385"/>
      <c r="M278" s="385"/>
      <c r="N278" s="385"/>
      <c r="O278" s="385"/>
    </row>
    <row r="279" spans="2:15" ht="15" customHeight="1" x14ac:dyDescent="0.25">
      <c r="C279" s="384"/>
      <c r="F279" s="385"/>
      <c r="G279" s="385"/>
      <c r="H279" s="385"/>
      <c r="I279" s="385"/>
      <c r="J279" s="385"/>
      <c r="K279" s="385"/>
      <c r="L279" s="385"/>
      <c r="M279" s="385"/>
      <c r="N279" s="385"/>
      <c r="O279" s="385"/>
    </row>
    <row r="280" spans="2:15" ht="15" customHeight="1" x14ac:dyDescent="0.25">
      <c r="B280" s="386"/>
      <c r="C280" s="384"/>
      <c r="F280" s="385"/>
      <c r="G280" s="385"/>
      <c r="H280" s="385"/>
      <c r="I280" s="385"/>
      <c r="J280" s="385"/>
      <c r="K280" s="385"/>
      <c r="L280" s="385"/>
      <c r="M280" s="385"/>
      <c r="N280" s="385"/>
      <c r="O280" s="385"/>
    </row>
    <row r="281" spans="2:15" ht="15" customHeight="1" x14ac:dyDescent="0.25">
      <c r="B281" s="386"/>
      <c r="C281" s="384"/>
      <c r="F281" s="385"/>
      <c r="G281" s="385"/>
      <c r="H281" s="385"/>
      <c r="I281" s="385"/>
      <c r="J281" s="385"/>
      <c r="K281" s="385"/>
      <c r="L281" s="385"/>
      <c r="M281" s="385"/>
      <c r="N281" s="385"/>
      <c r="O281" s="385"/>
    </row>
    <row r="282" spans="2:15" ht="15" customHeight="1" x14ac:dyDescent="0.25">
      <c r="B282" s="386"/>
      <c r="C282" s="384"/>
      <c r="F282" s="385"/>
      <c r="G282" s="385"/>
      <c r="H282" s="385"/>
      <c r="I282" s="385"/>
      <c r="J282" s="385"/>
      <c r="K282" s="385"/>
      <c r="L282" s="385"/>
      <c r="M282" s="385"/>
      <c r="N282" s="385"/>
      <c r="O282" s="385"/>
    </row>
    <row r="283" spans="2:15" ht="15" customHeight="1" x14ac:dyDescent="0.25">
      <c r="B283" s="389"/>
      <c r="C283" s="384"/>
      <c r="F283" s="385"/>
      <c r="G283" s="385"/>
      <c r="H283" s="385"/>
      <c r="I283" s="385"/>
      <c r="J283" s="385"/>
      <c r="K283" s="385"/>
      <c r="L283" s="385"/>
      <c r="M283" s="385"/>
      <c r="N283" s="385"/>
      <c r="O283" s="385"/>
    </row>
    <row r="284" spans="2:15" ht="15" customHeight="1" x14ac:dyDescent="0.25">
      <c r="C284" s="384"/>
      <c r="F284" s="385"/>
      <c r="G284" s="385"/>
      <c r="H284" s="385"/>
      <c r="I284" s="385"/>
      <c r="J284" s="385"/>
      <c r="K284" s="385"/>
      <c r="L284" s="385"/>
      <c r="M284" s="385"/>
      <c r="N284" s="385"/>
      <c r="O284" s="385"/>
    </row>
    <row r="285" spans="2:15" ht="15" customHeight="1" x14ac:dyDescent="0.25">
      <c r="B285" s="386"/>
      <c r="C285" s="384"/>
      <c r="F285" s="385"/>
      <c r="G285" s="385"/>
      <c r="H285" s="385"/>
      <c r="I285" s="385"/>
      <c r="J285" s="385"/>
      <c r="K285" s="385"/>
      <c r="L285" s="385"/>
      <c r="M285" s="385"/>
      <c r="N285" s="385"/>
      <c r="O285" s="385"/>
    </row>
    <row r="286" spans="2:15" ht="15" customHeight="1" x14ac:dyDescent="0.25">
      <c r="B286" s="386"/>
      <c r="C286" s="384"/>
      <c r="F286" s="385"/>
      <c r="G286" s="385"/>
      <c r="H286" s="385"/>
      <c r="I286" s="385"/>
      <c r="J286" s="385"/>
      <c r="K286" s="385"/>
      <c r="L286" s="385"/>
      <c r="M286" s="385"/>
      <c r="N286" s="385"/>
      <c r="O286" s="385"/>
    </row>
    <row r="287" spans="2:15" ht="15" customHeight="1" x14ac:dyDescent="0.25">
      <c r="B287" s="389"/>
      <c r="C287" s="384"/>
      <c r="F287" s="385"/>
      <c r="G287" s="385"/>
      <c r="H287" s="385"/>
      <c r="I287" s="385"/>
      <c r="J287" s="385"/>
      <c r="K287" s="385"/>
      <c r="L287" s="385"/>
      <c r="M287" s="385"/>
      <c r="N287" s="385"/>
      <c r="O287" s="385"/>
    </row>
    <row r="288" spans="2:15" ht="15" customHeight="1" x14ac:dyDescent="0.25">
      <c r="C288" s="384"/>
      <c r="F288" s="385"/>
      <c r="G288" s="385"/>
      <c r="H288" s="385"/>
      <c r="I288" s="385"/>
      <c r="J288" s="385"/>
      <c r="K288" s="385"/>
      <c r="L288" s="385"/>
      <c r="M288" s="385"/>
      <c r="N288" s="385"/>
      <c r="O288" s="385"/>
    </row>
    <row r="289" spans="2:16" ht="15" customHeight="1" x14ac:dyDescent="0.25">
      <c r="B289" s="388"/>
      <c r="C289" s="390"/>
      <c r="F289" s="385"/>
      <c r="G289" s="385"/>
      <c r="H289" s="385"/>
      <c r="I289" s="385"/>
      <c r="J289" s="385"/>
      <c r="K289" s="385"/>
      <c r="L289" s="385"/>
      <c r="M289" s="385"/>
      <c r="N289" s="385"/>
      <c r="O289" s="385"/>
    </row>
    <row r="290" spans="2:16" ht="15" customHeight="1" x14ac:dyDescent="0.25">
      <c r="B290" s="389"/>
      <c r="C290" s="384"/>
      <c r="F290" s="385"/>
      <c r="G290" s="385"/>
      <c r="H290" s="385"/>
      <c r="I290" s="385"/>
      <c r="J290" s="385"/>
      <c r="K290" s="385"/>
      <c r="L290" s="385"/>
      <c r="M290" s="385"/>
      <c r="N290" s="385"/>
      <c r="O290" s="385"/>
    </row>
    <row r="291" spans="2:16" ht="15" customHeight="1" x14ac:dyDescent="0.25">
      <c r="B291" s="389"/>
      <c r="C291" s="384"/>
      <c r="F291" s="385"/>
      <c r="G291" s="385"/>
      <c r="H291" s="385"/>
      <c r="I291" s="385"/>
      <c r="J291" s="385"/>
      <c r="K291" s="385"/>
      <c r="L291" s="385"/>
      <c r="M291" s="385"/>
      <c r="N291" s="385"/>
      <c r="O291" s="385"/>
    </row>
    <row r="292" spans="2:16" ht="15" customHeight="1" x14ac:dyDescent="0.25">
      <c r="C292" s="390"/>
      <c r="F292" s="385"/>
      <c r="G292" s="385"/>
      <c r="H292" s="385"/>
      <c r="I292" s="385"/>
      <c r="J292" s="385"/>
      <c r="K292" s="385"/>
      <c r="L292" s="385"/>
      <c r="M292" s="385"/>
      <c r="N292" s="385"/>
      <c r="O292" s="385"/>
    </row>
    <row r="293" spans="2:16" ht="15" customHeight="1" x14ac:dyDescent="0.25">
      <c r="F293" s="385"/>
      <c r="G293" s="385"/>
      <c r="H293" s="385"/>
      <c r="I293" s="385"/>
      <c r="J293" s="385"/>
      <c r="K293" s="385"/>
      <c r="L293" s="385"/>
      <c r="M293" s="385"/>
      <c r="N293" s="385"/>
      <c r="O293" s="385"/>
    </row>
    <row r="294" spans="2:16" ht="15" customHeight="1" x14ac:dyDescent="0.25">
      <c r="M294" s="391"/>
      <c r="N294" s="391"/>
      <c r="O294" s="391"/>
      <c r="P294" s="392"/>
    </row>
    <row r="295" spans="2:16" ht="15" customHeight="1" x14ac:dyDescent="0.25">
      <c r="M295" s="391"/>
      <c r="N295" s="391"/>
      <c r="O295" s="391"/>
      <c r="P295" s="392"/>
    </row>
    <row r="296" spans="2:16" ht="15" customHeight="1" x14ac:dyDescent="0.25">
      <c r="M296" s="391"/>
      <c r="N296" s="391"/>
      <c r="O296" s="391"/>
      <c r="P296" s="392"/>
    </row>
    <row r="297" spans="2:16" ht="15" customHeight="1" x14ac:dyDescent="0.25">
      <c r="M297" s="391"/>
      <c r="N297" s="391"/>
      <c r="O297" s="391"/>
      <c r="P297" s="392"/>
    </row>
    <row r="298" spans="2:16" ht="15" customHeight="1" x14ac:dyDescent="0.25">
      <c r="M298" s="391"/>
      <c r="N298" s="391"/>
      <c r="O298" s="391"/>
      <c r="P298" s="392"/>
    </row>
    <row r="299" spans="2:16" ht="15" customHeight="1" x14ac:dyDescent="0.25">
      <c r="M299" s="391"/>
      <c r="N299" s="391"/>
      <c r="O299" s="391"/>
    </row>
    <row r="300" spans="2:16" ht="15" customHeight="1" x14ac:dyDescent="0.25"/>
    <row r="301" spans="2:16" ht="15" customHeight="1" x14ac:dyDescent="0.25"/>
    <row r="302" spans="2:16" ht="15" customHeight="1" x14ac:dyDescent="0.25"/>
    <row r="303" spans="2:16" ht="15" customHeight="1" x14ac:dyDescent="0.25"/>
    <row r="304" spans="2:16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</sheetData>
  <protectedRanges>
    <protectedRange sqref="K13:L33" name="Range1_1"/>
  </protectedRanges>
  <mergeCells count="11">
    <mergeCell ref="A13:D13"/>
    <mergeCell ref="F13:G13"/>
    <mergeCell ref="A4:G4"/>
    <mergeCell ref="A5:G5"/>
    <mergeCell ref="A6:G6"/>
    <mergeCell ref="A8:A9"/>
    <mergeCell ref="B8:B9"/>
    <mergeCell ref="C8:C9"/>
    <mergeCell ref="D8:D9"/>
    <mergeCell ref="F8:F9"/>
    <mergeCell ref="G8:G9"/>
  </mergeCells>
  <pageMargins left="0.7" right="0.7" top="0.75" bottom="0.75" header="0.3" footer="0.3"/>
  <pageSetup paperSize="9" scale="74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FF00"/>
    <pageSetUpPr fitToPage="1"/>
  </sheetPr>
  <dimension ref="A1:N309"/>
  <sheetViews>
    <sheetView view="pageBreakPreview" zoomScale="80" zoomScaleNormal="70" zoomScaleSheetLayoutView="80" workbookViewId="0">
      <selection activeCell="J12" sqref="J12"/>
    </sheetView>
  </sheetViews>
  <sheetFormatPr defaultColWidth="10.7109375" defaultRowHeight="12.75" x14ac:dyDescent="0.25"/>
  <cols>
    <col min="1" max="1" width="10.7109375" style="360" customWidth="1"/>
    <col min="2" max="2" width="25.7109375" style="360" customWidth="1"/>
    <col min="3" max="3" width="8.42578125" style="374" customWidth="1"/>
    <col min="4" max="4" width="15.7109375" style="785" hidden="1" customWidth="1"/>
    <col min="5" max="6" width="12.7109375" style="375" customWidth="1"/>
    <col min="7" max="7" width="31.85546875" style="360" hidden="1" customWidth="1"/>
    <col min="8" max="8" width="50.7109375" style="373" customWidth="1"/>
    <col min="9" max="253" width="10.7109375" style="360"/>
    <col min="254" max="254" width="13.140625" style="360" customWidth="1"/>
    <col min="255" max="255" width="38" style="360" customWidth="1"/>
    <col min="256" max="256" width="8.42578125" style="360" customWidth="1"/>
    <col min="257" max="257" width="15.7109375" style="360" customWidth="1"/>
    <col min="258" max="258" width="18.28515625" style="360" customWidth="1"/>
    <col min="259" max="259" width="17.85546875" style="360" customWidth="1"/>
    <col min="260" max="260" width="0" style="360" hidden="1" customWidth="1"/>
    <col min="261" max="261" width="33.28515625" style="360" customWidth="1"/>
    <col min="262" max="509" width="10.7109375" style="360"/>
    <col min="510" max="510" width="13.140625" style="360" customWidth="1"/>
    <col min="511" max="511" width="38" style="360" customWidth="1"/>
    <col min="512" max="512" width="8.42578125" style="360" customWidth="1"/>
    <col min="513" max="513" width="15.7109375" style="360" customWidth="1"/>
    <col min="514" max="514" width="18.28515625" style="360" customWidth="1"/>
    <col min="515" max="515" width="17.85546875" style="360" customWidth="1"/>
    <col min="516" max="516" width="0" style="360" hidden="1" customWidth="1"/>
    <col min="517" max="517" width="33.28515625" style="360" customWidth="1"/>
    <col min="518" max="765" width="10.7109375" style="360"/>
    <col min="766" max="766" width="13.140625" style="360" customWidth="1"/>
    <col min="767" max="767" width="38" style="360" customWidth="1"/>
    <col min="768" max="768" width="8.42578125" style="360" customWidth="1"/>
    <col min="769" max="769" width="15.7109375" style="360" customWidth="1"/>
    <col min="770" max="770" width="18.28515625" style="360" customWidth="1"/>
    <col min="771" max="771" width="17.85546875" style="360" customWidth="1"/>
    <col min="772" max="772" width="0" style="360" hidden="1" customWidth="1"/>
    <col min="773" max="773" width="33.28515625" style="360" customWidth="1"/>
    <col min="774" max="1021" width="10.7109375" style="360"/>
    <col min="1022" max="1022" width="13.140625" style="360" customWidth="1"/>
    <col min="1023" max="1023" width="38" style="360" customWidth="1"/>
    <col min="1024" max="1024" width="8.42578125" style="360" customWidth="1"/>
    <col min="1025" max="1025" width="15.7109375" style="360" customWidth="1"/>
    <col min="1026" max="1026" width="18.28515625" style="360" customWidth="1"/>
    <col min="1027" max="1027" width="17.85546875" style="360" customWidth="1"/>
    <col min="1028" max="1028" width="0" style="360" hidden="1" customWidth="1"/>
    <col min="1029" max="1029" width="33.28515625" style="360" customWidth="1"/>
    <col min="1030" max="1277" width="10.7109375" style="360"/>
    <col min="1278" max="1278" width="13.140625" style="360" customWidth="1"/>
    <col min="1279" max="1279" width="38" style="360" customWidth="1"/>
    <col min="1280" max="1280" width="8.42578125" style="360" customWidth="1"/>
    <col min="1281" max="1281" width="15.7109375" style="360" customWidth="1"/>
    <col min="1282" max="1282" width="18.28515625" style="360" customWidth="1"/>
    <col min="1283" max="1283" width="17.85546875" style="360" customWidth="1"/>
    <col min="1284" max="1284" width="0" style="360" hidden="1" customWidth="1"/>
    <col min="1285" max="1285" width="33.28515625" style="360" customWidth="1"/>
    <col min="1286" max="1533" width="10.7109375" style="360"/>
    <col min="1534" max="1534" width="13.140625" style="360" customWidth="1"/>
    <col min="1535" max="1535" width="38" style="360" customWidth="1"/>
    <col min="1536" max="1536" width="8.42578125" style="360" customWidth="1"/>
    <col min="1537" max="1537" width="15.7109375" style="360" customWidth="1"/>
    <col min="1538" max="1538" width="18.28515625" style="360" customWidth="1"/>
    <col min="1539" max="1539" width="17.85546875" style="360" customWidth="1"/>
    <col min="1540" max="1540" width="0" style="360" hidden="1" customWidth="1"/>
    <col min="1541" max="1541" width="33.28515625" style="360" customWidth="1"/>
    <col min="1542" max="1789" width="10.7109375" style="360"/>
    <col min="1790" max="1790" width="13.140625" style="360" customWidth="1"/>
    <col min="1791" max="1791" width="38" style="360" customWidth="1"/>
    <col min="1792" max="1792" width="8.42578125" style="360" customWidth="1"/>
    <col min="1793" max="1793" width="15.7109375" style="360" customWidth="1"/>
    <col min="1794" max="1794" width="18.28515625" style="360" customWidth="1"/>
    <col min="1795" max="1795" width="17.85546875" style="360" customWidth="1"/>
    <col min="1796" max="1796" width="0" style="360" hidden="1" customWidth="1"/>
    <col min="1797" max="1797" width="33.28515625" style="360" customWidth="1"/>
    <col min="1798" max="2045" width="10.7109375" style="360"/>
    <col min="2046" max="2046" width="13.140625" style="360" customWidth="1"/>
    <col min="2047" max="2047" width="38" style="360" customWidth="1"/>
    <col min="2048" max="2048" width="8.42578125" style="360" customWidth="1"/>
    <col min="2049" max="2049" width="15.7109375" style="360" customWidth="1"/>
    <col min="2050" max="2050" width="18.28515625" style="360" customWidth="1"/>
    <col min="2051" max="2051" width="17.85546875" style="360" customWidth="1"/>
    <col min="2052" max="2052" width="0" style="360" hidden="1" customWidth="1"/>
    <col min="2053" max="2053" width="33.28515625" style="360" customWidth="1"/>
    <col min="2054" max="2301" width="10.7109375" style="360"/>
    <col min="2302" max="2302" width="13.140625" style="360" customWidth="1"/>
    <col min="2303" max="2303" width="38" style="360" customWidth="1"/>
    <col min="2304" max="2304" width="8.42578125" style="360" customWidth="1"/>
    <col min="2305" max="2305" width="15.7109375" style="360" customWidth="1"/>
    <col min="2306" max="2306" width="18.28515625" style="360" customWidth="1"/>
    <col min="2307" max="2307" width="17.85546875" style="360" customWidth="1"/>
    <col min="2308" max="2308" width="0" style="360" hidden="1" customWidth="1"/>
    <col min="2309" max="2309" width="33.28515625" style="360" customWidth="1"/>
    <col min="2310" max="2557" width="10.7109375" style="360"/>
    <col min="2558" max="2558" width="13.140625" style="360" customWidth="1"/>
    <col min="2559" max="2559" width="38" style="360" customWidth="1"/>
    <col min="2560" max="2560" width="8.42578125" style="360" customWidth="1"/>
    <col min="2561" max="2561" width="15.7109375" style="360" customWidth="1"/>
    <col min="2562" max="2562" width="18.28515625" style="360" customWidth="1"/>
    <col min="2563" max="2563" width="17.85546875" style="360" customWidth="1"/>
    <col min="2564" max="2564" width="0" style="360" hidden="1" customWidth="1"/>
    <col min="2565" max="2565" width="33.28515625" style="360" customWidth="1"/>
    <col min="2566" max="2813" width="10.7109375" style="360"/>
    <col min="2814" max="2814" width="13.140625" style="360" customWidth="1"/>
    <col min="2815" max="2815" width="38" style="360" customWidth="1"/>
    <col min="2816" max="2816" width="8.42578125" style="360" customWidth="1"/>
    <col min="2817" max="2817" width="15.7109375" style="360" customWidth="1"/>
    <col min="2818" max="2818" width="18.28515625" style="360" customWidth="1"/>
    <col min="2819" max="2819" width="17.85546875" style="360" customWidth="1"/>
    <col min="2820" max="2820" width="0" style="360" hidden="1" customWidth="1"/>
    <col min="2821" max="2821" width="33.28515625" style="360" customWidth="1"/>
    <col min="2822" max="3069" width="10.7109375" style="360"/>
    <col min="3070" max="3070" width="13.140625" style="360" customWidth="1"/>
    <col min="3071" max="3071" width="38" style="360" customWidth="1"/>
    <col min="3072" max="3072" width="8.42578125" style="360" customWidth="1"/>
    <col min="3073" max="3073" width="15.7109375" style="360" customWidth="1"/>
    <col min="3074" max="3074" width="18.28515625" style="360" customWidth="1"/>
    <col min="3075" max="3075" width="17.85546875" style="360" customWidth="1"/>
    <col min="3076" max="3076" width="0" style="360" hidden="1" customWidth="1"/>
    <col min="3077" max="3077" width="33.28515625" style="360" customWidth="1"/>
    <col min="3078" max="3325" width="10.7109375" style="360"/>
    <col min="3326" max="3326" width="13.140625" style="360" customWidth="1"/>
    <col min="3327" max="3327" width="38" style="360" customWidth="1"/>
    <col min="3328" max="3328" width="8.42578125" style="360" customWidth="1"/>
    <col min="3329" max="3329" width="15.7109375" style="360" customWidth="1"/>
    <col min="3330" max="3330" width="18.28515625" style="360" customWidth="1"/>
    <col min="3331" max="3331" width="17.85546875" style="360" customWidth="1"/>
    <col min="3332" max="3332" width="0" style="360" hidden="1" customWidth="1"/>
    <col min="3333" max="3333" width="33.28515625" style="360" customWidth="1"/>
    <col min="3334" max="3581" width="10.7109375" style="360"/>
    <col min="3582" max="3582" width="13.140625" style="360" customWidth="1"/>
    <col min="3583" max="3583" width="38" style="360" customWidth="1"/>
    <col min="3584" max="3584" width="8.42578125" style="360" customWidth="1"/>
    <col min="3585" max="3585" width="15.7109375" style="360" customWidth="1"/>
    <col min="3586" max="3586" width="18.28515625" style="360" customWidth="1"/>
    <col min="3587" max="3587" width="17.85546875" style="360" customWidth="1"/>
    <col min="3588" max="3588" width="0" style="360" hidden="1" customWidth="1"/>
    <col min="3589" max="3589" width="33.28515625" style="360" customWidth="1"/>
    <col min="3590" max="3837" width="10.7109375" style="360"/>
    <col min="3838" max="3838" width="13.140625" style="360" customWidth="1"/>
    <col min="3839" max="3839" width="38" style="360" customWidth="1"/>
    <col min="3840" max="3840" width="8.42578125" style="360" customWidth="1"/>
    <col min="3841" max="3841" width="15.7109375" style="360" customWidth="1"/>
    <col min="3842" max="3842" width="18.28515625" style="360" customWidth="1"/>
    <col min="3843" max="3843" width="17.85546875" style="360" customWidth="1"/>
    <col min="3844" max="3844" width="0" style="360" hidden="1" customWidth="1"/>
    <col min="3845" max="3845" width="33.28515625" style="360" customWidth="1"/>
    <col min="3846" max="4093" width="10.7109375" style="360"/>
    <col min="4094" max="4094" width="13.140625" style="360" customWidth="1"/>
    <col min="4095" max="4095" width="38" style="360" customWidth="1"/>
    <col min="4096" max="4096" width="8.42578125" style="360" customWidth="1"/>
    <col min="4097" max="4097" width="15.7109375" style="360" customWidth="1"/>
    <col min="4098" max="4098" width="18.28515625" style="360" customWidth="1"/>
    <col min="4099" max="4099" width="17.85546875" style="360" customWidth="1"/>
    <col min="4100" max="4100" width="0" style="360" hidden="1" customWidth="1"/>
    <col min="4101" max="4101" width="33.28515625" style="360" customWidth="1"/>
    <col min="4102" max="4349" width="10.7109375" style="360"/>
    <col min="4350" max="4350" width="13.140625" style="360" customWidth="1"/>
    <col min="4351" max="4351" width="38" style="360" customWidth="1"/>
    <col min="4352" max="4352" width="8.42578125" style="360" customWidth="1"/>
    <col min="4353" max="4353" width="15.7109375" style="360" customWidth="1"/>
    <col min="4354" max="4354" width="18.28515625" style="360" customWidth="1"/>
    <col min="4355" max="4355" width="17.85546875" style="360" customWidth="1"/>
    <col min="4356" max="4356" width="0" style="360" hidden="1" customWidth="1"/>
    <col min="4357" max="4357" width="33.28515625" style="360" customWidth="1"/>
    <col min="4358" max="4605" width="10.7109375" style="360"/>
    <col min="4606" max="4606" width="13.140625" style="360" customWidth="1"/>
    <col min="4607" max="4607" width="38" style="360" customWidth="1"/>
    <col min="4608" max="4608" width="8.42578125" style="360" customWidth="1"/>
    <col min="4609" max="4609" width="15.7109375" style="360" customWidth="1"/>
    <col min="4610" max="4610" width="18.28515625" style="360" customWidth="1"/>
    <col min="4611" max="4611" width="17.85546875" style="360" customWidth="1"/>
    <col min="4612" max="4612" width="0" style="360" hidden="1" customWidth="1"/>
    <col min="4613" max="4613" width="33.28515625" style="360" customWidth="1"/>
    <col min="4614" max="4861" width="10.7109375" style="360"/>
    <col min="4862" max="4862" width="13.140625" style="360" customWidth="1"/>
    <col min="4863" max="4863" width="38" style="360" customWidth="1"/>
    <col min="4864" max="4864" width="8.42578125" style="360" customWidth="1"/>
    <col min="4865" max="4865" width="15.7109375" style="360" customWidth="1"/>
    <col min="4866" max="4866" width="18.28515625" style="360" customWidth="1"/>
    <col min="4867" max="4867" width="17.85546875" style="360" customWidth="1"/>
    <col min="4868" max="4868" width="0" style="360" hidden="1" customWidth="1"/>
    <col min="4869" max="4869" width="33.28515625" style="360" customWidth="1"/>
    <col min="4870" max="5117" width="10.7109375" style="360"/>
    <col min="5118" max="5118" width="13.140625" style="360" customWidth="1"/>
    <col min="5119" max="5119" width="38" style="360" customWidth="1"/>
    <col min="5120" max="5120" width="8.42578125" style="360" customWidth="1"/>
    <col min="5121" max="5121" width="15.7109375" style="360" customWidth="1"/>
    <col min="5122" max="5122" width="18.28515625" style="360" customWidth="1"/>
    <col min="5123" max="5123" width="17.85546875" style="360" customWidth="1"/>
    <col min="5124" max="5124" width="0" style="360" hidden="1" customWidth="1"/>
    <col min="5125" max="5125" width="33.28515625" style="360" customWidth="1"/>
    <col min="5126" max="5373" width="10.7109375" style="360"/>
    <col min="5374" max="5374" width="13.140625" style="360" customWidth="1"/>
    <col min="5375" max="5375" width="38" style="360" customWidth="1"/>
    <col min="5376" max="5376" width="8.42578125" style="360" customWidth="1"/>
    <col min="5377" max="5377" width="15.7109375" style="360" customWidth="1"/>
    <col min="5378" max="5378" width="18.28515625" style="360" customWidth="1"/>
    <col min="5379" max="5379" width="17.85546875" style="360" customWidth="1"/>
    <col min="5380" max="5380" width="0" style="360" hidden="1" customWidth="1"/>
    <col min="5381" max="5381" width="33.28515625" style="360" customWidth="1"/>
    <col min="5382" max="5629" width="10.7109375" style="360"/>
    <col min="5630" max="5630" width="13.140625" style="360" customWidth="1"/>
    <col min="5631" max="5631" width="38" style="360" customWidth="1"/>
    <col min="5632" max="5632" width="8.42578125" style="360" customWidth="1"/>
    <col min="5633" max="5633" width="15.7109375" style="360" customWidth="1"/>
    <col min="5634" max="5634" width="18.28515625" style="360" customWidth="1"/>
    <col min="5635" max="5635" width="17.85546875" style="360" customWidth="1"/>
    <col min="5636" max="5636" width="0" style="360" hidden="1" customWidth="1"/>
    <col min="5637" max="5637" width="33.28515625" style="360" customWidth="1"/>
    <col min="5638" max="5885" width="10.7109375" style="360"/>
    <col min="5886" max="5886" width="13.140625" style="360" customWidth="1"/>
    <col min="5887" max="5887" width="38" style="360" customWidth="1"/>
    <col min="5888" max="5888" width="8.42578125" style="360" customWidth="1"/>
    <col min="5889" max="5889" width="15.7109375" style="360" customWidth="1"/>
    <col min="5890" max="5890" width="18.28515625" style="360" customWidth="1"/>
    <col min="5891" max="5891" width="17.85546875" style="360" customWidth="1"/>
    <col min="5892" max="5892" width="0" style="360" hidden="1" customWidth="1"/>
    <col min="5893" max="5893" width="33.28515625" style="360" customWidth="1"/>
    <col min="5894" max="6141" width="10.7109375" style="360"/>
    <col min="6142" max="6142" width="13.140625" style="360" customWidth="1"/>
    <col min="6143" max="6143" width="38" style="360" customWidth="1"/>
    <col min="6144" max="6144" width="8.42578125" style="360" customWidth="1"/>
    <col min="6145" max="6145" width="15.7109375" style="360" customWidth="1"/>
    <col min="6146" max="6146" width="18.28515625" style="360" customWidth="1"/>
    <col min="6147" max="6147" width="17.85546875" style="360" customWidth="1"/>
    <col min="6148" max="6148" width="0" style="360" hidden="1" customWidth="1"/>
    <col min="6149" max="6149" width="33.28515625" style="360" customWidth="1"/>
    <col min="6150" max="6397" width="10.7109375" style="360"/>
    <col min="6398" max="6398" width="13.140625" style="360" customWidth="1"/>
    <col min="6399" max="6399" width="38" style="360" customWidth="1"/>
    <col min="6400" max="6400" width="8.42578125" style="360" customWidth="1"/>
    <col min="6401" max="6401" width="15.7109375" style="360" customWidth="1"/>
    <col min="6402" max="6402" width="18.28515625" style="360" customWidth="1"/>
    <col min="6403" max="6403" width="17.85546875" style="360" customWidth="1"/>
    <col min="6404" max="6404" width="0" style="360" hidden="1" customWidth="1"/>
    <col min="6405" max="6405" width="33.28515625" style="360" customWidth="1"/>
    <col min="6406" max="6653" width="10.7109375" style="360"/>
    <col min="6654" max="6654" width="13.140625" style="360" customWidth="1"/>
    <col min="6655" max="6655" width="38" style="360" customWidth="1"/>
    <col min="6656" max="6656" width="8.42578125" style="360" customWidth="1"/>
    <col min="6657" max="6657" width="15.7109375" style="360" customWidth="1"/>
    <col min="6658" max="6658" width="18.28515625" style="360" customWidth="1"/>
    <col min="6659" max="6659" width="17.85546875" style="360" customWidth="1"/>
    <col min="6660" max="6660" width="0" style="360" hidden="1" customWidth="1"/>
    <col min="6661" max="6661" width="33.28515625" style="360" customWidth="1"/>
    <col min="6662" max="6909" width="10.7109375" style="360"/>
    <col min="6910" max="6910" width="13.140625" style="360" customWidth="1"/>
    <col min="6911" max="6911" width="38" style="360" customWidth="1"/>
    <col min="6912" max="6912" width="8.42578125" style="360" customWidth="1"/>
    <col min="6913" max="6913" width="15.7109375" style="360" customWidth="1"/>
    <col min="6914" max="6914" width="18.28515625" style="360" customWidth="1"/>
    <col min="6915" max="6915" width="17.85546875" style="360" customWidth="1"/>
    <col min="6916" max="6916" width="0" style="360" hidden="1" customWidth="1"/>
    <col min="6917" max="6917" width="33.28515625" style="360" customWidth="1"/>
    <col min="6918" max="7165" width="10.7109375" style="360"/>
    <col min="7166" max="7166" width="13.140625" style="360" customWidth="1"/>
    <col min="7167" max="7167" width="38" style="360" customWidth="1"/>
    <col min="7168" max="7168" width="8.42578125" style="360" customWidth="1"/>
    <col min="7169" max="7169" width="15.7109375" style="360" customWidth="1"/>
    <col min="7170" max="7170" width="18.28515625" style="360" customWidth="1"/>
    <col min="7171" max="7171" width="17.85546875" style="360" customWidth="1"/>
    <col min="7172" max="7172" width="0" style="360" hidden="1" customWidth="1"/>
    <col min="7173" max="7173" width="33.28515625" style="360" customWidth="1"/>
    <col min="7174" max="7421" width="10.7109375" style="360"/>
    <col min="7422" max="7422" width="13.140625" style="360" customWidth="1"/>
    <col min="7423" max="7423" width="38" style="360" customWidth="1"/>
    <col min="7424" max="7424" width="8.42578125" style="360" customWidth="1"/>
    <col min="7425" max="7425" width="15.7109375" style="360" customWidth="1"/>
    <col min="7426" max="7426" width="18.28515625" style="360" customWidth="1"/>
    <col min="7427" max="7427" width="17.85546875" style="360" customWidth="1"/>
    <col min="7428" max="7428" width="0" style="360" hidden="1" customWidth="1"/>
    <col min="7429" max="7429" width="33.28515625" style="360" customWidth="1"/>
    <col min="7430" max="7677" width="10.7109375" style="360"/>
    <col min="7678" max="7678" width="13.140625" style="360" customWidth="1"/>
    <col min="7679" max="7679" width="38" style="360" customWidth="1"/>
    <col min="7680" max="7680" width="8.42578125" style="360" customWidth="1"/>
    <col min="7681" max="7681" width="15.7109375" style="360" customWidth="1"/>
    <col min="7682" max="7682" width="18.28515625" style="360" customWidth="1"/>
    <col min="7683" max="7683" width="17.85546875" style="360" customWidth="1"/>
    <col min="7684" max="7684" width="0" style="360" hidden="1" customWidth="1"/>
    <col min="7685" max="7685" width="33.28515625" style="360" customWidth="1"/>
    <col min="7686" max="7933" width="10.7109375" style="360"/>
    <col min="7934" max="7934" width="13.140625" style="360" customWidth="1"/>
    <col min="7935" max="7935" width="38" style="360" customWidth="1"/>
    <col min="7936" max="7936" width="8.42578125" style="360" customWidth="1"/>
    <col min="7937" max="7937" width="15.7109375" style="360" customWidth="1"/>
    <col min="7938" max="7938" width="18.28515625" style="360" customWidth="1"/>
    <col min="7939" max="7939" width="17.85546875" style="360" customWidth="1"/>
    <col min="7940" max="7940" width="0" style="360" hidden="1" customWidth="1"/>
    <col min="7941" max="7941" width="33.28515625" style="360" customWidth="1"/>
    <col min="7942" max="8189" width="10.7109375" style="360"/>
    <col min="8190" max="8190" width="13.140625" style="360" customWidth="1"/>
    <col min="8191" max="8191" width="38" style="360" customWidth="1"/>
    <col min="8192" max="8192" width="8.42578125" style="360" customWidth="1"/>
    <col min="8193" max="8193" width="15.7109375" style="360" customWidth="1"/>
    <col min="8194" max="8194" width="18.28515625" style="360" customWidth="1"/>
    <col min="8195" max="8195" width="17.85546875" style="360" customWidth="1"/>
    <col min="8196" max="8196" width="0" style="360" hidden="1" customWidth="1"/>
    <col min="8197" max="8197" width="33.28515625" style="360" customWidth="1"/>
    <col min="8198" max="8445" width="10.7109375" style="360"/>
    <col min="8446" max="8446" width="13.140625" style="360" customWidth="1"/>
    <col min="8447" max="8447" width="38" style="360" customWidth="1"/>
    <col min="8448" max="8448" width="8.42578125" style="360" customWidth="1"/>
    <col min="8449" max="8449" width="15.7109375" style="360" customWidth="1"/>
    <col min="8450" max="8450" width="18.28515625" style="360" customWidth="1"/>
    <col min="8451" max="8451" width="17.85546875" style="360" customWidth="1"/>
    <col min="8452" max="8452" width="0" style="360" hidden="1" customWidth="1"/>
    <col min="8453" max="8453" width="33.28515625" style="360" customWidth="1"/>
    <col min="8454" max="8701" width="10.7109375" style="360"/>
    <col min="8702" max="8702" width="13.140625" style="360" customWidth="1"/>
    <col min="8703" max="8703" width="38" style="360" customWidth="1"/>
    <col min="8704" max="8704" width="8.42578125" style="360" customWidth="1"/>
    <col min="8705" max="8705" width="15.7109375" style="360" customWidth="1"/>
    <col min="8706" max="8706" width="18.28515625" style="360" customWidth="1"/>
    <col min="8707" max="8707" width="17.85546875" style="360" customWidth="1"/>
    <col min="8708" max="8708" width="0" style="360" hidden="1" customWidth="1"/>
    <col min="8709" max="8709" width="33.28515625" style="360" customWidth="1"/>
    <col min="8710" max="8957" width="10.7109375" style="360"/>
    <col min="8958" max="8958" width="13.140625" style="360" customWidth="1"/>
    <col min="8959" max="8959" width="38" style="360" customWidth="1"/>
    <col min="8960" max="8960" width="8.42578125" style="360" customWidth="1"/>
    <col min="8961" max="8961" width="15.7109375" style="360" customWidth="1"/>
    <col min="8962" max="8962" width="18.28515625" style="360" customWidth="1"/>
    <col min="8963" max="8963" width="17.85546875" style="360" customWidth="1"/>
    <col min="8964" max="8964" width="0" style="360" hidden="1" customWidth="1"/>
    <col min="8965" max="8965" width="33.28515625" style="360" customWidth="1"/>
    <col min="8966" max="9213" width="10.7109375" style="360"/>
    <col min="9214" max="9214" width="13.140625" style="360" customWidth="1"/>
    <col min="9215" max="9215" width="38" style="360" customWidth="1"/>
    <col min="9216" max="9216" width="8.42578125" style="360" customWidth="1"/>
    <col min="9217" max="9217" width="15.7109375" style="360" customWidth="1"/>
    <col min="9218" max="9218" width="18.28515625" style="360" customWidth="1"/>
    <col min="9219" max="9219" width="17.85546875" style="360" customWidth="1"/>
    <col min="9220" max="9220" width="0" style="360" hidden="1" customWidth="1"/>
    <col min="9221" max="9221" width="33.28515625" style="360" customWidth="1"/>
    <col min="9222" max="9469" width="10.7109375" style="360"/>
    <col min="9470" max="9470" width="13.140625" style="360" customWidth="1"/>
    <col min="9471" max="9471" width="38" style="360" customWidth="1"/>
    <col min="9472" max="9472" width="8.42578125" style="360" customWidth="1"/>
    <col min="9473" max="9473" width="15.7109375" style="360" customWidth="1"/>
    <col min="9474" max="9474" width="18.28515625" style="360" customWidth="1"/>
    <col min="9475" max="9475" width="17.85546875" style="360" customWidth="1"/>
    <col min="9476" max="9476" width="0" style="360" hidden="1" customWidth="1"/>
    <col min="9477" max="9477" width="33.28515625" style="360" customWidth="1"/>
    <col min="9478" max="9725" width="10.7109375" style="360"/>
    <col min="9726" max="9726" width="13.140625" style="360" customWidth="1"/>
    <col min="9727" max="9727" width="38" style="360" customWidth="1"/>
    <col min="9728" max="9728" width="8.42578125" style="360" customWidth="1"/>
    <col min="9729" max="9729" width="15.7109375" style="360" customWidth="1"/>
    <col min="9730" max="9730" width="18.28515625" style="360" customWidth="1"/>
    <col min="9731" max="9731" width="17.85546875" style="360" customWidth="1"/>
    <col min="9732" max="9732" width="0" style="360" hidden="1" customWidth="1"/>
    <col min="9733" max="9733" width="33.28515625" style="360" customWidth="1"/>
    <col min="9734" max="9981" width="10.7109375" style="360"/>
    <col min="9982" max="9982" width="13.140625" style="360" customWidth="1"/>
    <col min="9983" max="9983" width="38" style="360" customWidth="1"/>
    <col min="9984" max="9984" width="8.42578125" style="360" customWidth="1"/>
    <col min="9985" max="9985" width="15.7109375" style="360" customWidth="1"/>
    <col min="9986" max="9986" width="18.28515625" style="360" customWidth="1"/>
    <col min="9987" max="9987" width="17.85546875" style="360" customWidth="1"/>
    <col min="9988" max="9988" width="0" style="360" hidden="1" customWidth="1"/>
    <col min="9989" max="9989" width="33.28515625" style="360" customWidth="1"/>
    <col min="9990" max="10237" width="10.7109375" style="360"/>
    <col min="10238" max="10238" width="13.140625" style="360" customWidth="1"/>
    <col min="10239" max="10239" width="38" style="360" customWidth="1"/>
    <col min="10240" max="10240" width="8.42578125" style="360" customWidth="1"/>
    <col min="10241" max="10241" width="15.7109375" style="360" customWidth="1"/>
    <col min="10242" max="10242" width="18.28515625" style="360" customWidth="1"/>
    <col min="10243" max="10243" width="17.85546875" style="360" customWidth="1"/>
    <col min="10244" max="10244" width="0" style="360" hidden="1" customWidth="1"/>
    <col min="10245" max="10245" width="33.28515625" style="360" customWidth="1"/>
    <col min="10246" max="10493" width="10.7109375" style="360"/>
    <col min="10494" max="10494" width="13.140625" style="360" customWidth="1"/>
    <col min="10495" max="10495" width="38" style="360" customWidth="1"/>
    <col min="10496" max="10496" width="8.42578125" style="360" customWidth="1"/>
    <col min="10497" max="10497" width="15.7109375" style="360" customWidth="1"/>
    <col min="10498" max="10498" width="18.28515625" style="360" customWidth="1"/>
    <col min="10499" max="10499" width="17.85546875" style="360" customWidth="1"/>
    <col min="10500" max="10500" width="0" style="360" hidden="1" customWidth="1"/>
    <col min="10501" max="10501" width="33.28515625" style="360" customWidth="1"/>
    <col min="10502" max="10749" width="10.7109375" style="360"/>
    <col min="10750" max="10750" width="13.140625" style="360" customWidth="1"/>
    <col min="10751" max="10751" width="38" style="360" customWidth="1"/>
    <col min="10752" max="10752" width="8.42578125" style="360" customWidth="1"/>
    <col min="10753" max="10753" width="15.7109375" style="360" customWidth="1"/>
    <col min="10754" max="10754" width="18.28515625" style="360" customWidth="1"/>
    <col min="10755" max="10755" width="17.85546875" style="360" customWidth="1"/>
    <col min="10756" max="10756" width="0" style="360" hidden="1" customWidth="1"/>
    <col min="10757" max="10757" width="33.28515625" style="360" customWidth="1"/>
    <col min="10758" max="11005" width="10.7109375" style="360"/>
    <col min="11006" max="11006" width="13.140625" style="360" customWidth="1"/>
    <col min="11007" max="11007" width="38" style="360" customWidth="1"/>
    <col min="11008" max="11008" width="8.42578125" style="360" customWidth="1"/>
    <col min="11009" max="11009" width="15.7109375" style="360" customWidth="1"/>
    <col min="11010" max="11010" width="18.28515625" style="360" customWidth="1"/>
    <col min="11011" max="11011" width="17.85546875" style="360" customWidth="1"/>
    <col min="11012" max="11012" width="0" style="360" hidden="1" customWidth="1"/>
    <col min="11013" max="11013" width="33.28515625" style="360" customWidth="1"/>
    <col min="11014" max="11261" width="10.7109375" style="360"/>
    <col min="11262" max="11262" width="13.140625" style="360" customWidth="1"/>
    <col min="11263" max="11263" width="38" style="360" customWidth="1"/>
    <col min="11264" max="11264" width="8.42578125" style="360" customWidth="1"/>
    <col min="11265" max="11265" width="15.7109375" style="360" customWidth="1"/>
    <col min="11266" max="11266" width="18.28515625" style="360" customWidth="1"/>
    <col min="11267" max="11267" width="17.85546875" style="360" customWidth="1"/>
    <col min="11268" max="11268" width="0" style="360" hidden="1" customWidth="1"/>
    <col min="11269" max="11269" width="33.28515625" style="360" customWidth="1"/>
    <col min="11270" max="11517" width="10.7109375" style="360"/>
    <col min="11518" max="11518" width="13.140625" style="360" customWidth="1"/>
    <col min="11519" max="11519" width="38" style="360" customWidth="1"/>
    <col min="11520" max="11520" width="8.42578125" style="360" customWidth="1"/>
    <col min="11521" max="11521" width="15.7109375" style="360" customWidth="1"/>
    <col min="11522" max="11522" width="18.28515625" style="360" customWidth="1"/>
    <col min="11523" max="11523" width="17.85546875" style="360" customWidth="1"/>
    <col min="11524" max="11524" width="0" style="360" hidden="1" customWidth="1"/>
    <col min="11525" max="11525" width="33.28515625" style="360" customWidth="1"/>
    <col min="11526" max="11773" width="10.7109375" style="360"/>
    <col min="11774" max="11774" width="13.140625" style="360" customWidth="1"/>
    <col min="11775" max="11775" width="38" style="360" customWidth="1"/>
    <col min="11776" max="11776" width="8.42578125" style="360" customWidth="1"/>
    <col min="11777" max="11777" width="15.7109375" style="360" customWidth="1"/>
    <col min="11778" max="11778" width="18.28515625" style="360" customWidth="1"/>
    <col min="11779" max="11779" width="17.85546875" style="360" customWidth="1"/>
    <col min="11780" max="11780" width="0" style="360" hidden="1" customWidth="1"/>
    <col min="11781" max="11781" width="33.28515625" style="360" customWidth="1"/>
    <col min="11782" max="12029" width="10.7109375" style="360"/>
    <col min="12030" max="12030" width="13.140625" style="360" customWidth="1"/>
    <col min="12031" max="12031" width="38" style="360" customWidth="1"/>
    <col min="12032" max="12032" width="8.42578125" style="360" customWidth="1"/>
    <col min="12033" max="12033" width="15.7109375" style="360" customWidth="1"/>
    <col min="12034" max="12034" width="18.28515625" style="360" customWidth="1"/>
    <col min="12035" max="12035" width="17.85546875" style="360" customWidth="1"/>
    <col min="12036" max="12036" width="0" style="360" hidden="1" customWidth="1"/>
    <col min="12037" max="12037" width="33.28515625" style="360" customWidth="1"/>
    <col min="12038" max="12285" width="10.7109375" style="360"/>
    <col min="12286" max="12286" width="13.140625" style="360" customWidth="1"/>
    <col min="12287" max="12287" width="38" style="360" customWidth="1"/>
    <col min="12288" max="12288" width="8.42578125" style="360" customWidth="1"/>
    <col min="12289" max="12289" width="15.7109375" style="360" customWidth="1"/>
    <col min="12290" max="12290" width="18.28515625" style="360" customWidth="1"/>
    <col min="12291" max="12291" width="17.85546875" style="360" customWidth="1"/>
    <col min="12292" max="12292" width="0" style="360" hidden="1" customWidth="1"/>
    <col min="12293" max="12293" width="33.28515625" style="360" customWidth="1"/>
    <col min="12294" max="12541" width="10.7109375" style="360"/>
    <col min="12542" max="12542" width="13.140625" style="360" customWidth="1"/>
    <col min="12543" max="12543" width="38" style="360" customWidth="1"/>
    <col min="12544" max="12544" width="8.42578125" style="360" customWidth="1"/>
    <col min="12545" max="12545" width="15.7109375" style="360" customWidth="1"/>
    <col min="12546" max="12546" width="18.28515625" style="360" customWidth="1"/>
    <col min="12547" max="12547" width="17.85546875" style="360" customWidth="1"/>
    <col min="12548" max="12548" width="0" style="360" hidden="1" customWidth="1"/>
    <col min="12549" max="12549" width="33.28515625" style="360" customWidth="1"/>
    <col min="12550" max="12797" width="10.7109375" style="360"/>
    <col min="12798" max="12798" width="13.140625" style="360" customWidth="1"/>
    <col min="12799" max="12799" width="38" style="360" customWidth="1"/>
    <col min="12800" max="12800" width="8.42578125" style="360" customWidth="1"/>
    <col min="12801" max="12801" width="15.7109375" style="360" customWidth="1"/>
    <col min="12802" max="12802" width="18.28515625" style="360" customWidth="1"/>
    <col min="12803" max="12803" width="17.85546875" style="360" customWidth="1"/>
    <col min="12804" max="12804" width="0" style="360" hidden="1" customWidth="1"/>
    <col min="12805" max="12805" width="33.28515625" style="360" customWidth="1"/>
    <col min="12806" max="13053" width="10.7109375" style="360"/>
    <col min="13054" max="13054" width="13.140625" style="360" customWidth="1"/>
    <col min="13055" max="13055" width="38" style="360" customWidth="1"/>
    <col min="13056" max="13056" width="8.42578125" style="360" customWidth="1"/>
    <col min="13057" max="13057" width="15.7109375" style="360" customWidth="1"/>
    <col min="13058" max="13058" width="18.28515625" style="360" customWidth="1"/>
    <col min="13059" max="13059" width="17.85546875" style="360" customWidth="1"/>
    <col min="13060" max="13060" width="0" style="360" hidden="1" customWidth="1"/>
    <col min="13061" max="13061" width="33.28515625" style="360" customWidth="1"/>
    <col min="13062" max="13309" width="10.7109375" style="360"/>
    <col min="13310" max="13310" width="13.140625" style="360" customWidth="1"/>
    <col min="13311" max="13311" width="38" style="360" customWidth="1"/>
    <col min="13312" max="13312" width="8.42578125" style="360" customWidth="1"/>
    <col min="13313" max="13313" width="15.7109375" style="360" customWidth="1"/>
    <col min="13314" max="13314" width="18.28515625" style="360" customWidth="1"/>
    <col min="13315" max="13315" width="17.85546875" style="360" customWidth="1"/>
    <col min="13316" max="13316" width="0" style="360" hidden="1" customWidth="1"/>
    <col min="13317" max="13317" width="33.28515625" style="360" customWidth="1"/>
    <col min="13318" max="13565" width="10.7109375" style="360"/>
    <col min="13566" max="13566" width="13.140625" style="360" customWidth="1"/>
    <col min="13567" max="13567" width="38" style="360" customWidth="1"/>
    <col min="13568" max="13568" width="8.42578125" style="360" customWidth="1"/>
    <col min="13569" max="13569" width="15.7109375" style="360" customWidth="1"/>
    <col min="13570" max="13570" width="18.28515625" style="360" customWidth="1"/>
    <col min="13571" max="13571" width="17.85546875" style="360" customWidth="1"/>
    <col min="13572" max="13572" width="0" style="360" hidden="1" customWidth="1"/>
    <col min="13573" max="13573" width="33.28515625" style="360" customWidth="1"/>
    <col min="13574" max="13821" width="10.7109375" style="360"/>
    <col min="13822" max="13822" width="13.140625" style="360" customWidth="1"/>
    <col min="13823" max="13823" width="38" style="360" customWidth="1"/>
    <col min="13824" max="13824" width="8.42578125" style="360" customWidth="1"/>
    <col min="13825" max="13825" width="15.7109375" style="360" customWidth="1"/>
    <col min="13826" max="13826" width="18.28515625" style="360" customWidth="1"/>
    <col min="13827" max="13827" width="17.85546875" style="360" customWidth="1"/>
    <col min="13828" max="13828" width="0" style="360" hidden="1" customWidth="1"/>
    <col min="13829" max="13829" width="33.28515625" style="360" customWidth="1"/>
    <col min="13830" max="14077" width="10.7109375" style="360"/>
    <col min="14078" max="14078" width="13.140625" style="360" customWidth="1"/>
    <col min="14079" max="14079" width="38" style="360" customWidth="1"/>
    <col min="14080" max="14080" width="8.42578125" style="360" customWidth="1"/>
    <col min="14081" max="14081" width="15.7109375" style="360" customWidth="1"/>
    <col min="14082" max="14082" width="18.28515625" style="360" customWidth="1"/>
    <col min="14083" max="14083" width="17.85546875" style="360" customWidth="1"/>
    <col min="14084" max="14084" width="0" style="360" hidden="1" customWidth="1"/>
    <col min="14085" max="14085" width="33.28515625" style="360" customWidth="1"/>
    <col min="14086" max="14333" width="10.7109375" style="360"/>
    <col min="14334" max="14334" width="13.140625" style="360" customWidth="1"/>
    <col min="14335" max="14335" width="38" style="360" customWidth="1"/>
    <col min="14336" max="14336" width="8.42578125" style="360" customWidth="1"/>
    <col min="14337" max="14337" width="15.7109375" style="360" customWidth="1"/>
    <col min="14338" max="14338" width="18.28515625" style="360" customWidth="1"/>
    <col min="14339" max="14339" width="17.85546875" style="360" customWidth="1"/>
    <col min="14340" max="14340" width="0" style="360" hidden="1" customWidth="1"/>
    <col min="14341" max="14341" width="33.28515625" style="360" customWidth="1"/>
    <col min="14342" max="14589" width="10.7109375" style="360"/>
    <col min="14590" max="14590" width="13.140625" style="360" customWidth="1"/>
    <col min="14591" max="14591" width="38" style="360" customWidth="1"/>
    <col min="14592" max="14592" width="8.42578125" style="360" customWidth="1"/>
    <col min="14593" max="14593" width="15.7109375" style="360" customWidth="1"/>
    <col min="14594" max="14594" width="18.28515625" style="360" customWidth="1"/>
    <col min="14595" max="14595" width="17.85546875" style="360" customWidth="1"/>
    <col min="14596" max="14596" width="0" style="360" hidden="1" customWidth="1"/>
    <col min="14597" max="14597" width="33.28515625" style="360" customWidth="1"/>
    <col min="14598" max="14845" width="10.7109375" style="360"/>
    <col min="14846" max="14846" width="13.140625" style="360" customWidth="1"/>
    <col min="14847" max="14847" width="38" style="360" customWidth="1"/>
    <col min="14848" max="14848" width="8.42578125" style="360" customWidth="1"/>
    <col min="14849" max="14849" width="15.7109375" style="360" customWidth="1"/>
    <col min="14850" max="14850" width="18.28515625" style="360" customWidth="1"/>
    <col min="14851" max="14851" width="17.85546875" style="360" customWidth="1"/>
    <col min="14852" max="14852" width="0" style="360" hidden="1" customWidth="1"/>
    <col min="14853" max="14853" width="33.28515625" style="360" customWidth="1"/>
    <col min="14854" max="15101" width="10.7109375" style="360"/>
    <col min="15102" max="15102" width="13.140625" style="360" customWidth="1"/>
    <col min="15103" max="15103" width="38" style="360" customWidth="1"/>
    <col min="15104" max="15104" width="8.42578125" style="360" customWidth="1"/>
    <col min="15105" max="15105" width="15.7109375" style="360" customWidth="1"/>
    <col min="15106" max="15106" width="18.28515625" style="360" customWidth="1"/>
    <col min="15107" max="15107" width="17.85546875" style="360" customWidth="1"/>
    <col min="15108" max="15108" width="0" style="360" hidden="1" customWidth="1"/>
    <col min="15109" max="15109" width="33.28515625" style="360" customWidth="1"/>
    <col min="15110" max="15357" width="10.7109375" style="360"/>
    <col min="15358" max="15358" width="13.140625" style="360" customWidth="1"/>
    <col min="15359" max="15359" width="38" style="360" customWidth="1"/>
    <col min="15360" max="15360" width="8.42578125" style="360" customWidth="1"/>
    <col min="15361" max="15361" width="15.7109375" style="360" customWidth="1"/>
    <col min="15362" max="15362" width="18.28515625" style="360" customWidth="1"/>
    <col min="15363" max="15363" width="17.85546875" style="360" customWidth="1"/>
    <col min="15364" max="15364" width="0" style="360" hidden="1" customWidth="1"/>
    <col min="15365" max="15365" width="33.28515625" style="360" customWidth="1"/>
    <col min="15366" max="15613" width="10.7109375" style="360"/>
    <col min="15614" max="15614" width="13.140625" style="360" customWidth="1"/>
    <col min="15615" max="15615" width="38" style="360" customWidth="1"/>
    <col min="15616" max="15616" width="8.42578125" style="360" customWidth="1"/>
    <col min="15617" max="15617" width="15.7109375" style="360" customWidth="1"/>
    <col min="15618" max="15618" width="18.28515625" style="360" customWidth="1"/>
    <col min="15619" max="15619" width="17.85546875" style="360" customWidth="1"/>
    <col min="15620" max="15620" width="0" style="360" hidden="1" customWidth="1"/>
    <col min="15621" max="15621" width="33.28515625" style="360" customWidth="1"/>
    <col min="15622" max="15869" width="10.7109375" style="360"/>
    <col min="15870" max="15870" width="13.140625" style="360" customWidth="1"/>
    <col min="15871" max="15871" width="38" style="360" customWidth="1"/>
    <col min="15872" max="15872" width="8.42578125" style="360" customWidth="1"/>
    <col min="15873" max="15873" width="15.7109375" style="360" customWidth="1"/>
    <col min="15874" max="15874" width="18.28515625" style="360" customWidth="1"/>
    <col min="15875" max="15875" width="17.85546875" style="360" customWidth="1"/>
    <col min="15876" max="15876" width="0" style="360" hidden="1" customWidth="1"/>
    <col min="15877" max="15877" width="33.28515625" style="360" customWidth="1"/>
    <col min="15878" max="16125" width="10.7109375" style="360"/>
    <col min="16126" max="16126" width="13.140625" style="360" customWidth="1"/>
    <col min="16127" max="16127" width="38" style="360" customWidth="1"/>
    <col min="16128" max="16128" width="8.42578125" style="360" customWidth="1"/>
    <col min="16129" max="16129" width="15.7109375" style="360" customWidth="1"/>
    <col min="16130" max="16130" width="18.28515625" style="360" customWidth="1"/>
    <col min="16131" max="16131" width="17.85546875" style="360" customWidth="1"/>
    <col min="16132" max="16132" width="0" style="360" hidden="1" customWidth="1"/>
    <col min="16133" max="16133" width="33.28515625" style="360" customWidth="1"/>
    <col min="16134" max="16384" width="10.7109375" style="360"/>
  </cols>
  <sheetData>
    <row r="1" spans="1:9" ht="13.9" x14ac:dyDescent="0.3">
      <c r="A1" s="547" t="str">
        <f>'04-DO'!B2</f>
        <v>PROIECT : Extindere infrastructură educațională – Centrul Școlar pentru Educație înclusivă „Constantin Pufan”</v>
      </c>
      <c r="B1" s="361"/>
      <c r="C1" s="357"/>
      <c r="D1" s="779"/>
      <c r="E1" s="358"/>
      <c r="F1" s="358"/>
      <c r="G1" s="359"/>
      <c r="H1" s="362"/>
    </row>
    <row r="2" spans="1:9" ht="13.15" x14ac:dyDescent="0.3">
      <c r="A2" s="361"/>
      <c r="B2" s="361"/>
      <c r="C2" s="357"/>
      <c r="D2" s="779"/>
      <c r="E2" s="358"/>
      <c r="F2" s="358"/>
      <c r="G2" s="359"/>
      <c r="H2" s="362"/>
    </row>
    <row r="3" spans="1:9" ht="13.15" x14ac:dyDescent="0.3">
      <c r="A3" s="359"/>
      <c r="B3" s="359"/>
      <c r="C3" s="357"/>
      <c r="D3" s="779"/>
      <c r="E3" s="358"/>
      <c r="F3" s="358"/>
      <c r="G3" s="359"/>
      <c r="H3" s="362"/>
    </row>
    <row r="4" spans="1:9" ht="13.15" x14ac:dyDescent="0.3">
      <c r="A4" s="1445" t="s">
        <v>1217</v>
      </c>
      <c r="B4" s="1445"/>
      <c r="C4" s="1445"/>
      <c r="D4" s="1445"/>
      <c r="E4" s="1445"/>
      <c r="F4" s="1445"/>
      <c r="G4" s="1445"/>
      <c r="H4" s="1445"/>
    </row>
    <row r="5" spans="1:9" ht="13.15" x14ac:dyDescent="0.3">
      <c r="A5" s="1445" t="s">
        <v>1455</v>
      </c>
      <c r="B5" s="1445"/>
      <c r="C5" s="1445"/>
      <c r="D5" s="1445"/>
      <c r="E5" s="1445"/>
      <c r="F5" s="1445"/>
      <c r="G5" s="1445"/>
      <c r="H5" s="1445"/>
    </row>
    <row r="6" spans="1:9" ht="13.15" x14ac:dyDescent="0.3">
      <c r="A6" s="1445" t="str">
        <f>DG!C64</f>
        <v>OBIECT 5 - Mansardare Clădire C02</v>
      </c>
      <c r="B6" s="1445"/>
      <c r="C6" s="1445"/>
      <c r="D6" s="1445"/>
      <c r="E6" s="1445"/>
      <c r="F6" s="1445"/>
      <c r="G6" s="1445"/>
      <c r="H6" s="1445"/>
    </row>
    <row r="7" spans="1:9" ht="13.15" x14ac:dyDescent="0.3">
      <c r="A7" s="828"/>
      <c r="B7" s="361"/>
      <c r="C7" s="828"/>
      <c r="D7" s="780"/>
      <c r="E7" s="560"/>
      <c r="F7" s="560"/>
      <c r="G7" s="828"/>
      <c r="H7" s="356"/>
    </row>
    <row r="8" spans="1:9" ht="13.15" x14ac:dyDescent="0.3">
      <c r="A8" s="359"/>
      <c r="B8" s="359"/>
      <c r="C8" s="357"/>
      <c r="D8" s="788">
        <v>1</v>
      </c>
      <c r="E8" s="358"/>
      <c r="F8" s="358"/>
      <c r="G8" s="359"/>
      <c r="H8" s="362"/>
    </row>
    <row r="9" spans="1:9" ht="38.25" x14ac:dyDescent="0.25">
      <c r="A9" s="1446" t="s">
        <v>1179</v>
      </c>
      <c r="B9" s="1446" t="s">
        <v>1180</v>
      </c>
      <c r="C9" s="1446" t="s">
        <v>1181</v>
      </c>
      <c r="D9" s="1447" t="s">
        <v>1456</v>
      </c>
      <c r="E9" s="1448" t="s">
        <v>1456</v>
      </c>
      <c r="F9" s="829" t="s">
        <v>1183</v>
      </c>
      <c r="G9" s="1446" t="s">
        <v>1184</v>
      </c>
      <c r="H9" s="1446" t="s">
        <v>1185</v>
      </c>
    </row>
    <row r="10" spans="1:9" ht="25.5" x14ac:dyDescent="0.25">
      <c r="A10" s="1446"/>
      <c r="B10" s="1446"/>
      <c r="C10" s="1446"/>
      <c r="D10" s="1447"/>
      <c r="E10" s="1448"/>
      <c r="F10" s="829" t="s">
        <v>1186</v>
      </c>
      <c r="G10" s="1446"/>
      <c r="H10" s="1446"/>
    </row>
    <row r="11" spans="1:9" ht="13.15" x14ac:dyDescent="0.3">
      <c r="A11" s="826">
        <v>1</v>
      </c>
      <c r="B11" s="826">
        <v>2</v>
      </c>
      <c r="C11" s="826">
        <v>3</v>
      </c>
      <c r="D11" s="778">
        <v>4</v>
      </c>
      <c r="E11" s="562">
        <v>4</v>
      </c>
      <c r="F11" s="562">
        <v>5</v>
      </c>
      <c r="G11" s="826">
        <v>7</v>
      </c>
      <c r="H11" s="826">
        <v>6</v>
      </c>
    </row>
    <row r="12" spans="1:9" ht="13.15" x14ac:dyDescent="0.3">
      <c r="A12" s="563" t="s">
        <v>1457</v>
      </c>
      <c r="B12" s="564" t="s">
        <v>1759</v>
      </c>
      <c r="C12" s="565"/>
      <c r="D12" s="781"/>
      <c r="E12" s="565"/>
      <c r="F12" s="565"/>
      <c r="G12" s="565"/>
      <c r="H12" s="566"/>
    </row>
    <row r="13" spans="1:9" ht="13.15" x14ac:dyDescent="0.3">
      <c r="A13" s="364" t="s">
        <v>1458</v>
      </c>
      <c r="B13" s="530"/>
      <c r="C13" s="531"/>
      <c r="D13" s="783">
        <v>1050</v>
      </c>
      <c r="E13" s="532"/>
      <c r="F13" s="532">
        <f t="shared" ref="F13" si="0">E13*C13</f>
        <v>0</v>
      </c>
      <c r="G13" s="530"/>
      <c r="H13" s="533"/>
    </row>
    <row r="14" spans="1:9" ht="14.45" x14ac:dyDescent="0.3">
      <c r="A14" s="364" t="s">
        <v>1466</v>
      </c>
      <c r="B14" s="530"/>
      <c r="C14" s="531"/>
      <c r="D14" s="783">
        <v>1455.61</v>
      </c>
      <c r="E14" s="532"/>
      <c r="F14" s="532">
        <f t="shared" ref="F14:F27" si="1">E14*C14</f>
        <v>0</v>
      </c>
      <c r="G14" s="530"/>
      <c r="H14" s="533"/>
      <c r="I14" s="426"/>
    </row>
    <row r="15" spans="1:9" ht="14.45" x14ac:dyDescent="0.3">
      <c r="A15" s="364" t="s">
        <v>1467</v>
      </c>
      <c r="B15" s="530"/>
      <c r="C15" s="531"/>
      <c r="D15" s="783">
        <v>470</v>
      </c>
      <c r="E15" s="532"/>
      <c r="F15" s="532">
        <f>C15*E15</f>
        <v>0</v>
      </c>
      <c r="G15" s="530"/>
      <c r="H15" s="533"/>
      <c r="I15" s="426"/>
    </row>
    <row r="16" spans="1:9" ht="13.15" x14ac:dyDescent="0.3">
      <c r="A16" s="364" t="s">
        <v>1468</v>
      </c>
      <c r="B16" s="530"/>
      <c r="C16" s="531"/>
      <c r="D16" s="783">
        <v>200</v>
      </c>
      <c r="E16" s="532"/>
      <c r="F16" s="532">
        <f t="shared" ref="F16:F17" si="2">C16*E16</f>
        <v>0</v>
      </c>
      <c r="G16" s="530"/>
      <c r="H16" s="533"/>
    </row>
    <row r="17" spans="1:11" ht="14.45" x14ac:dyDescent="0.3">
      <c r="A17" s="364" t="s">
        <v>1469</v>
      </c>
      <c r="B17" s="840"/>
      <c r="C17" s="531"/>
      <c r="D17" s="783">
        <v>309.39999999999998</v>
      </c>
      <c r="E17" s="532"/>
      <c r="F17" s="532">
        <f t="shared" si="2"/>
        <v>0</v>
      </c>
      <c r="G17" s="530"/>
      <c r="H17" s="533"/>
      <c r="I17" s="426"/>
    </row>
    <row r="18" spans="1:11" ht="13.15" x14ac:dyDescent="0.3">
      <c r="A18" s="364" t="s">
        <v>1470</v>
      </c>
      <c r="B18" s="530"/>
      <c r="C18" s="531"/>
      <c r="D18" s="783">
        <v>1199</v>
      </c>
      <c r="E18" s="532"/>
      <c r="F18" s="532">
        <f t="shared" ref="F18:F20" si="3">E18*C18</f>
        <v>0</v>
      </c>
      <c r="G18" s="530"/>
      <c r="H18" s="533"/>
    </row>
    <row r="19" spans="1:11" ht="14.45" x14ac:dyDescent="0.3">
      <c r="A19" s="364" t="s">
        <v>1471</v>
      </c>
      <c r="B19" s="530"/>
      <c r="C19" s="531"/>
      <c r="D19" s="783">
        <v>1099</v>
      </c>
      <c r="E19" s="532"/>
      <c r="F19" s="532">
        <f t="shared" si="3"/>
        <v>0</v>
      </c>
      <c r="G19" s="530"/>
      <c r="H19" s="533"/>
      <c r="I19" s="426"/>
    </row>
    <row r="20" spans="1:11" ht="14.45" x14ac:dyDescent="0.3">
      <c r="A20" s="364" t="s">
        <v>1472</v>
      </c>
      <c r="B20" s="530"/>
      <c r="C20" s="531"/>
      <c r="D20" s="783">
        <v>1200</v>
      </c>
      <c r="E20" s="532"/>
      <c r="F20" s="532">
        <f t="shared" si="3"/>
        <v>0</v>
      </c>
      <c r="G20" s="530"/>
      <c r="H20" s="533"/>
      <c r="I20" s="426"/>
    </row>
    <row r="21" spans="1:11" ht="14.45" x14ac:dyDescent="0.3">
      <c r="A21" s="364" t="s">
        <v>1473</v>
      </c>
      <c r="B21" s="530"/>
      <c r="C21" s="531"/>
      <c r="D21" s="783">
        <v>329</v>
      </c>
      <c r="E21" s="532"/>
      <c r="F21" s="532">
        <f t="shared" si="1"/>
        <v>0</v>
      </c>
      <c r="G21" s="530"/>
      <c r="H21" s="533"/>
      <c r="I21" s="426"/>
    </row>
    <row r="22" spans="1:11" ht="13.15" x14ac:dyDescent="0.3">
      <c r="A22" s="364" t="s">
        <v>1474</v>
      </c>
      <c r="B22" s="530"/>
      <c r="C22" s="531"/>
      <c r="D22" s="783">
        <v>95.2</v>
      </c>
      <c r="E22" s="532"/>
      <c r="F22" s="532">
        <f t="shared" ref="F22" si="4">C22*E22</f>
        <v>0</v>
      </c>
      <c r="G22" s="530"/>
      <c r="H22" s="533"/>
    </row>
    <row r="23" spans="1:11" ht="13.15" x14ac:dyDescent="0.3">
      <c r="A23" s="364" t="s">
        <v>1475</v>
      </c>
      <c r="B23" s="530"/>
      <c r="C23" s="531"/>
      <c r="D23" s="783">
        <v>1552</v>
      </c>
      <c r="E23" s="532"/>
      <c r="F23" s="532">
        <f>E23*C23</f>
        <v>0</v>
      </c>
      <c r="G23" s="530"/>
      <c r="H23" s="533"/>
    </row>
    <row r="24" spans="1:11" ht="13.15" x14ac:dyDescent="0.3">
      <c r="A24" s="364" t="s">
        <v>1476</v>
      </c>
      <c r="B24" s="530"/>
      <c r="C24" s="531"/>
      <c r="D24" s="783">
        <v>1350</v>
      </c>
      <c r="E24" s="532"/>
      <c r="F24" s="532">
        <f t="shared" si="1"/>
        <v>0</v>
      </c>
      <c r="G24" s="530"/>
      <c r="H24" s="533"/>
    </row>
    <row r="25" spans="1:11" ht="12.75" customHeight="1" x14ac:dyDescent="0.3">
      <c r="A25" s="364" t="s">
        <v>1477</v>
      </c>
      <c r="B25" s="530"/>
      <c r="C25" s="531"/>
      <c r="D25" s="783">
        <v>765</v>
      </c>
      <c r="E25" s="532"/>
      <c r="F25" s="532">
        <f t="shared" si="1"/>
        <v>0</v>
      </c>
      <c r="G25" s="530"/>
      <c r="H25" s="533"/>
    </row>
    <row r="26" spans="1:11" ht="13.15" x14ac:dyDescent="0.3">
      <c r="A26" s="364" t="s">
        <v>1478</v>
      </c>
      <c r="B26" s="530"/>
      <c r="C26" s="531"/>
      <c r="D26" s="783">
        <v>1576</v>
      </c>
      <c r="E26" s="532"/>
      <c r="F26" s="532">
        <f t="shared" si="1"/>
        <v>0</v>
      </c>
      <c r="G26" s="530"/>
      <c r="H26" s="533"/>
    </row>
    <row r="27" spans="1:11" ht="13.15" x14ac:dyDescent="0.3">
      <c r="A27" s="364" t="s">
        <v>1479</v>
      </c>
      <c r="B27" s="530"/>
      <c r="C27" s="531"/>
      <c r="D27" s="783">
        <v>350</v>
      </c>
      <c r="E27" s="532"/>
      <c r="F27" s="532">
        <f t="shared" si="1"/>
        <v>0</v>
      </c>
      <c r="G27" s="530"/>
      <c r="H27" s="533"/>
    </row>
    <row r="28" spans="1:11" ht="13.15" hidden="1" x14ac:dyDescent="0.3">
      <c r="A28" s="563" t="s">
        <v>1481</v>
      </c>
      <c r="B28" s="564"/>
      <c r="C28" s="574"/>
      <c r="D28" s="772"/>
      <c r="E28" s="575"/>
      <c r="F28" s="575"/>
      <c r="G28" s="576"/>
      <c r="H28" s="577"/>
      <c r="I28" s="530"/>
    </row>
    <row r="29" spans="1:11" ht="14.45" hidden="1" x14ac:dyDescent="0.3">
      <c r="A29" s="366" t="s">
        <v>1482</v>
      </c>
      <c r="B29" s="549"/>
      <c r="C29" s="550"/>
      <c r="D29" s="769"/>
      <c r="E29" s="395"/>
      <c r="F29" s="369">
        <f>C29*D29</f>
        <v>0</v>
      </c>
      <c r="G29" s="551"/>
      <c r="H29" s="552"/>
      <c r="I29" s="553"/>
      <c r="K29" s="559"/>
    </row>
    <row r="30" spans="1:11" ht="14.45" hidden="1" x14ac:dyDescent="0.3">
      <c r="A30" s="366" t="s">
        <v>1483</v>
      </c>
      <c r="B30" s="549"/>
      <c r="C30" s="550"/>
      <c r="D30" s="769"/>
      <c r="E30" s="395"/>
      <c r="F30" s="369">
        <f>C30*D30</f>
        <v>0</v>
      </c>
      <c r="G30" s="551"/>
      <c r="H30" s="552"/>
      <c r="I30" s="553"/>
      <c r="K30" s="559"/>
    </row>
    <row r="31" spans="1:11" ht="13.15" x14ac:dyDescent="0.3">
      <c r="A31" s="1444"/>
      <c r="B31" s="1444"/>
      <c r="C31" s="1444"/>
      <c r="D31" s="1444"/>
      <c r="E31" s="827"/>
      <c r="F31" s="370">
        <f>SUM(F13:F30)</f>
        <v>0</v>
      </c>
      <c r="G31" s="1444" t="s">
        <v>1188</v>
      </c>
      <c r="H31" s="1444"/>
    </row>
    <row r="32" spans="1:11" ht="13.15" x14ac:dyDescent="0.3">
      <c r="A32" s="359"/>
      <c r="B32" s="359"/>
      <c r="C32" s="372"/>
      <c r="D32" s="779"/>
      <c r="E32" s="358"/>
      <c r="F32" s="358"/>
      <c r="G32" s="359"/>
      <c r="H32" s="362"/>
    </row>
    <row r="33" spans="1:8" ht="13.9" x14ac:dyDescent="0.25">
      <c r="A33" s="359"/>
      <c r="B33" s="359"/>
      <c r="C33" s="357"/>
      <c r="D33" s="779"/>
      <c r="E33" s="358"/>
      <c r="F33" s="358"/>
      <c r="G33" s="359"/>
      <c r="H33" s="44" t="s">
        <v>82</v>
      </c>
    </row>
    <row r="34" spans="1:8" ht="13.9" x14ac:dyDescent="0.25">
      <c r="A34" s="359"/>
      <c r="B34" s="359"/>
      <c r="C34" s="357"/>
      <c r="D34" s="779"/>
      <c r="E34" s="358"/>
      <c r="F34" s="358"/>
      <c r="G34" s="359"/>
      <c r="H34" s="45"/>
    </row>
    <row r="35" spans="1:8" ht="13.9" x14ac:dyDescent="0.25">
      <c r="A35" s="359"/>
      <c r="B35" s="359"/>
      <c r="C35" s="357"/>
      <c r="D35" s="779"/>
      <c r="E35" s="358"/>
      <c r="F35" s="358"/>
      <c r="G35" s="359"/>
      <c r="H35" s="44" t="s">
        <v>1516</v>
      </c>
    </row>
    <row r="36" spans="1:8" ht="13.9" x14ac:dyDescent="0.25">
      <c r="A36" s="359"/>
      <c r="B36" s="359"/>
      <c r="C36" s="357"/>
      <c r="D36" s="779"/>
      <c r="E36" s="358"/>
      <c r="F36" s="358"/>
      <c r="G36" s="359"/>
      <c r="H36" s="45" t="s">
        <v>83</v>
      </c>
    </row>
    <row r="37" spans="1:8" ht="13.9" x14ac:dyDescent="0.25">
      <c r="A37" s="359"/>
      <c r="B37" s="359"/>
      <c r="C37" s="357"/>
      <c r="D37" s="779"/>
      <c r="E37" s="358"/>
      <c r="F37" s="358"/>
      <c r="G37" s="359"/>
      <c r="H37" s="45" t="s">
        <v>1517</v>
      </c>
    </row>
    <row r="38" spans="1:8" x14ac:dyDescent="0.25">
      <c r="A38" s="359"/>
      <c r="B38" s="359"/>
      <c r="C38" s="357"/>
      <c r="D38" s="779"/>
      <c r="E38" s="358"/>
      <c r="F38" s="358"/>
      <c r="G38" s="359"/>
      <c r="H38" s="362"/>
    </row>
    <row r="40" spans="1:8" x14ac:dyDescent="0.25">
      <c r="A40" s="378"/>
    </row>
    <row r="41" spans="1:8" x14ac:dyDescent="0.25">
      <c r="A41" s="378"/>
      <c r="H41" s="389"/>
    </row>
    <row r="42" spans="1:8" x14ac:dyDescent="0.25">
      <c r="A42" s="378"/>
    </row>
    <row r="43" spans="1:8" x14ac:dyDescent="0.25">
      <c r="A43" s="378"/>
      <c r="H43" s="389"/>
    </row>
    <row r="44" spans="1:8" x14ac:dyDescent="0.25">
      <c r="A44" s="378"/>
    </row>
    <row r="45" spans="1:8" x14ac:dyDescent="0.25">
      <c r="A45" s="378"/>
      <c r="H45" s="389"/>
    </row>
    <row r="46" spans="1:8" x14ac:dyDescent="0.25">
      <c r="A46" s="378"/>
    </row>
    <row r="47" spans="1:8" x14ac:dyDescent="0.25">
      <c r="A47" s="378"/>
    </row>
    <row r="48" spans="1:8" x14ac:dyDescent="0.25">
      <c r="A48" s="378"/>
      <c r="H48" s="389"/>
    </row>
    <row r="49" spans="1:13" x14ac:dyDescent="0.25">
      <c r="A49" s="378"/>
      <c r="I49" s="374"/>
      <c r="J49" s="374"/>
      <c r="K49" s="374"/>
      <c r="L49" s="374"/>
      <c r="M49" s="374"/>
    </row>
    <row r="50" spans="1:13" x14ac:dyDescent="0.25">
      <c r="A50" s="378"/>
      <c r="H50" s="389"/>
      <c r="I50" s="374"/>
      <c r="J50" s="374"/>
      <c r="K50" s="374"/>
      <c r="L50" s="374"/>
      <c r="M50" s="374"/>
    </row>
    <row r="51" spans="1:13" x14ac:dyDescent="0.25">
      <c r="A51" s="378"/>
      <c r="I51" s="374"/>
      <c r="J51" s="374"/>
      <c r="K51" s="374"/>
      <c r="L51" s="374"/>
      <c r="M51" s="374"/>
    </row>
    <row r="52" spans="1:13" x14ac:dyDescent="0.25">
      <c r="A52" s="378"/>
      <c r="I52" s="374"/>
      <c r="J52" s="374"/>
      <c r="K52" s="374"/>
      <c r="L52" s="374"/>
      <c r="M52" s="374"/>
    </row>
    <row r="53" spans="1:13" x14ac:dyDescent="0.25">
      <c r="A53" s="378"/>
      <c r="H53" s="389"/>
      <c r="I53" s="374"/>
      <c r="J53" s="374"/>
      <c r="K53" s="374"/>
      <c r="L53" s="374"/>
      <c r="M53" s="374"/>
    </row>
    <row r="54" spans="1:13" x14ac:dyDescent="0.25">
      <c r="A54" s="378"/>
      <c r="B54" s="363"/>
      <c r="H54" s="389"/>
      <c r="I54" s="374"/>
      <c r="J54" s="374"/>
      <c r="K54" s="374"/>
      <c r="L54" s="374"/>
      <c r="M54" s="374"/>
    </row>
    <row r="55" spans="1:13" x14ac:dyDescent="0.25">
      <c r="A55" s="378"/>
      <c r="H55" s="389"/>
      <c r="I55" s="374"/>
      <c r="J55" s="374"/>
      <c r="K55" s="374"/>
      <c r="L55" s="374"/>
      <c r="M55" s="374"/>
    </row>
    <row r="56" spans="1:13" x14ac:dyDescent="0.25">
      <c r="A56" s="378"/>
      <c r="H56" s="389"/>
      <c r="I56" s="374"/>
      <c r="J56" s="374"/>
      <c r="K56" s="374"/>
      <c r="L56" s="374"/>
      <c r="M56" s="374"/>
    </row>
    <row r="57" spans="1:13" x14ac:dyDescent="0.25">
      <c r="A57" s="378"/>
      <c r="H57" s="389"/>
      <c r="I57" s="374"/>
      <c r="J57" s="374"/>
      <c r="K57" s="374"/>
      <c r="L57" s="374"/>
      <c r="M57" s="374"/>
    </row>
    <row r="58" spans="1:13" x14ac:dyDescent="0.25">
      <c r="A58" s="378"/>
      <c r="H58" s="389"/>
      <c r="I58" s="374"/>
      <c r="J58" s="374"/>
      <c r="K58" s="374"/>
      <c r="L58" s="374"/>
      <c r="M58" s="374"/>
    </row>
    <row r="59" spans="1:13" x14ac:dyDescent="0.25">
      <c r="A59" s="378"/>
      <c r="H59" s="389"/>
      <c r="I59" s="374"/>
      <c r="J59" s="374"/>
      <c r="K59" s="374"/>
      <c r="L59" s="374"/>
      <c r="M59" s="374"/>
    </row>
    <row r="60" spans="1:13" x14ac:dyDescent="0.25">
      <c r="A60" s="378"/>
      <c r="H60" s="389"/>
      <c r="I60" s="374"/>
      <c r="J60" s="374"/>
      <c r="K60" s="374"/>
      <c r="L60" s="374"/>
      <c r="M60" s="374"/>
    </row>
    <row r="61" spans="1:13" x14ac:dyDescent="0.25">
      <c r="A61" s="376"/>
      <c r="D61" s="786"/>
      <c r="E61" s="380"/>
      <c r="F61" s="380"/>
      <c r="G61" s="374"/>
      <c r="I61" s="374"/>
      <c r="J61" s="374"/>
      <c r="K61" s="374"/>
      <c r="L61" s="374"/>
      <c r="M61" s="374"/>
    </row>
    <row r="62" spans="1:13" x14ac:dyDescent="0.25">
      <c r="A62" s="376"/>
      <c r="D62" s="786"/>
      <c r="E62" s="380"/>
      <c r="F62" s="380"/>
      <c r="G62" s="374"/>
      <c r="I62" s="374"/>
      <c r="J62" s="374"/>
      <c r="K62" s="374"/>
      <c r="L62" s="374"/>
      <c r="M62" s="374"/>
    </row>
    <row r="63" spans="1:13" x14ac:dyDescent="0.25">
      <c r="D63" s="786"/>
      <c r="E63" s="380"/>
      <c r="F63" s="380"/>
      <c r="G63" s="374"/>
      <c r="I63" s="374"/>
      <c r="J63" s="374"/>
      <c r="K63" s="374"/>
      <c r="L63" s="374"/>
      <c r="M63" s="374"/>
    </row>
    <row r="64" spans="1:13" x14ac:dyDescent="0.25">
      <c r="D64" s="786"/>
      <c r="E64" s="380"/>
      <c r="F64" s="380"/>
      <c r="G64" s="374"/>
      <c r="I64" s="374"/>
      <c r="J64" s="374"/>
      <c r="K64" s="374"/>
      <c r="L64" s="374"/>
      <c r="M64" s="374"/>
    </row>
    <row r="65" spans="1:13" x14ac:dyDescent="0.25">
      <c r="A65" s="376"/>
      <c r="D65" s="786"/>
      <c r="E65" s="380"/>
      <c r="F65" s="380"/>
      <c r="G65" s="374"/>
      <c r="I65" s="374"/>
      <c r="J65" s="374"/>
      <c r="K65" s="374"/>
      <c r="L65" s="374"/>
      <c r="M65" s="374"/>
    </row>
    <row r="66" spans="1:13" x14ac:dyDescent="0.25">
      <c r="A66" s="376"/>
      <c r="D66" s="786"/>
      <c r="E66" s="380"/>
      <c r="F66" s="380"/>
      <c r="G66" s="374"/>
      <c r="I66" s="374"/>
      <c r="J66" s="374"/>
      <c r="K66" s="374"/>
      <c r="L66" s="374"/>
      <c r="M66" s="374"/>
    </row>
    <row r="67" spans="1:13" x14ac:dyDescent="0.25">
      <c r="A67" s="376"/>
      <c r="D67" s="786"/>
      <c r="E67" s="380"/>
      <c r="F67" s="380"/>
      <c r="G67" s="374"/>
      <c r="I67" s="374"/>
      <c r="J67" s="374"/>
      <c r="K67" s="374"/>
      <c r="L67" s="374"/>
      <c r="M67" s="374"/>
    </row>
    <row r="68" spans="1:13" x14ac:dyDescent="0.25">
      <c r="A68" s="376"/>
      <c r="D68" s="786"/>
      <c r="E68" s="380"/>
      <c r="F68" s="380"/>
      <c r="G68" s="374"/>
      <c r="I68" s="374"/>
      <c r="J68" s="374"/>
      <c r="K68" s="374"/>
      <c r="L68" s="374"/>
      <c r="M68" s="374"/>
    </row>
    <row r="69" spans="1:13" x14ac:dyDescent="0.25">
      <c r="A69" s="376"/>
      <c r="D69" s="786"/>
      <c r="E69" s="380"/>
      <c r="F69" s="380"/>
      <c r="G69" s="374"/>
      <c r="I69" s="374"/>
      <c r="J69" s="374"/>
      <c r="K69" s="374"/>
      <c r="L69" s="374"/>
      <c r="M69" s="374"/>
    </row>
    <row r="70" spans="1:13" x14ac:dyDescent="0.25">
      <c r="A70" s="376"/>
      <c r="D70" s="786"/>
      <c r="E70" s="380"/>
      <c r="F70" s="380"/>
      <c r="G70" s="374"/>
      <c r="I70" s="374"/>
      <c r="J70" s="374"/>
      <c r="K70" s="374"/>
      <c r="L70" s="374"/>
      <c r="M70" s="374"/>
    </row>
    <row r="71" spans="1:13" x14ac:dyDescent="0.25">
      <c r="A71" s="376"/>
      <c r="D71" s="786"/>
      <c r="E71" s="380"/>
      <c r="F71" s="380"/>
      <c r="G71" s="374"/>
      <c r="I71" s="374"/>
      <c r="J71" s="374"/>
      <c r="K71" s="374"/>
      <c r="L71" s="374"/>
      <c r="M71" s="374"/>
    </row>
    <row r="72" spans="1:13" x14ac:dyDescent="0.25">
      <c r="A72" s="376"/>
      <c r="D72" s="786"/>
      <c r="E72" s="380"/>
      <c r="F72" s="380"/>
      <c r="G72" s="374"/>
      <c r="I72" s="374"/>
      <c r="J72" s="374"/>
      <c r="K72" s="374"/>
      <c r="L72" s="374"/>
      <c r="M72" s="374"/>
    </row>
    <row r="73" spans="1:13" x14ac:dyDescent="0.25">
      <c r="A73" s="376"/>
      <c r="D73" s="786"/>
      <c r="E73" s="380"/>
      <c r="F73" s="380"/>
      <c r="G73" s="374"/>
      <c r="I73" s="374"/>
      <c r="J73" s="374"/>
      <c r="K73" s="374"/>
      <c r="L73" s="374"/>
      <c r="M73" s="374"/>
    </row>
    <row r="74" spans="1:13" x14ac:dyDescent="0.25">
      <c r="A74" s="376"/>
      <c r="D74" s="786"/>
      <c r="E74" s="380"/>
      <c r="F74" s="380"/>
      <c r="G74" s="374"/>
      <c r="I74" s="374"/>
      <c r="J74" s="374"/>
      <c r="K74" s="374"/>
      <c r="L74" s="374"/>
      <c r="M74" s="374"/>
    </row>
    <row r="75" spans="1:13" x14ac:dyDescent="0.25">
      <c r="A75" s="376"/>
      <c r="D75" s="786"/>
      <c r="E75" s="380"/>
      <c r="F75" s="380"/>
      <c r="G75" s="374"/>
      <c r="I75" s="374"/>
      <c r="J75" s="374"/>
      <c r="K75" s="374"/>
      <c r="L75" s="374"/>
      <c r="M75" s="374"/>
    </row>
    <row r="76" spans="1:13" x14ac:dyDescent="0.25">
      <c r="A76" s="376"/>
      <c r="D76" s="786"/>
      <c r="E76" s="380"/>
      <c r="F76" s="380"/>
      <c r="G76" s="374"/>
      <c r="I76" s="374"/>
      <c r="J76" s="374"/>
      <c r="K76" s="374"/>
      <c r="L76" s="374"/>
      <c r="M76" s="374"/>
    </row>
    <row r="77" spans="1:13" x14ac:dyDescent="0.25">
      <c r="A77" s="376"/>
      <c r="D77" s="786"/>
      <c r="E77" s="380"/>
      <c r="F77" s="380"/>
      <c r="G77" s="374"/>
      <c r="I77" s="374"/>
      <c r="J77" s="374"/>
      <c r="K77" s="374"/>
      <c r="L77" s="374"/>
      <c r="M77" s="374"/>
    </row>
    <row r="78" spans="1:13" x14ac:dyDescent="0.25">
      <c r="A78" s="376"/>
      <c r="D78" s="786"/>
      <c r="E78" s="380"/>
      <c r="F78" s="380"/>
      <c r="G78" s="374"/>
      <c r="I78" s="374"/>
      <c r="J78" s="374"/>
      <c r="K78" s="374"/>
      <c r="L78" s="374"/>
      <c r="M78" s="374"/>
    </row>
    <row r="79" spans="1:13" x14ac:dyDescent="0.25">
      <c r="A79" s="376"/>
      <c r="D79" s="786"/>
      <c r="E79" s="380"/>
      <c r="F79" s="380"/>
      <c r="G79" s="374"/>
      <c r="I79" s="374"/>
      <c r="J79" s="374"/>
      <c r="K79" s="374"/>
      <c r="L79" s="374"/>
      <c r="M79" s="374"/>
    </row>
    <row r="80" spans="1:13" x14ac:dyDescent="0.25">
      <c r="A80" s="376"/>
      <c r="D80" s="786"/>
      <c r="E80" s="380"/>
      <c r="F80" s="380"/>
      <c r="G80" s="374"/>
      <c r="I80" s="374"/>
      <c r="J80" s="374"/>
      <c r="K80" s="374"/>
      <c r="L80" s="374"/>
      <c r="M80" s="374"/>
    </row>
    <row r="81" spans="1:14" x14ac:dyDescent="0.25">
      <c r="D81" s="786"/>
      <c r="E81" s="380"/>
      <c r="F81" s="380"/>
      <c r="G81" s="374"/>
      <c r="I81" s="374"/>
      <c r="J81" s="374"/>
      <c r="K81" s="374"/>
      <c r="L81" s="374"/>
      <c r="M81" s="374"/>
    </row>
    <row r="82" spans="1:14" x14ac:dyDescent="0.25">
      <c r="D82" s="786"/>
      <c r="E82" s="380"/>
      <c r="F82" s="380"/>
      <c r="G82" s="374"/>
      <c r="I82" s="374"/>
      <c r="J82" s="374"/>
      <c r="K82" s="374"/>
      <c r="L82" s="374"/>
      <c r="M82" s="374"/>
    </row>
    <row r="83" spans="1:14" x14ac:dyDescent="0.25">
      <c r="D83" s="786"/>
      <c r="E83" s="380"/>
      <c r="F83" s="380"/>
      <c r="G83" s="374"/>
      <c r="I83" s="374"/>
      <c r="J83" s="374"/>
      <c r="K83" s="374"/>
      <c r="L83" s="374"/>
      <c r="M83" s="374"/>
    </row>
    <row r="84" spans="1:14" x14ac:dyDescent="0.25">
      <c r="A84" s="376"/>
      <c r="D84" s="786"/>
      <c r="E84" s="380"/>
      <c r="F84" s="380"/>
      <c r="G84" s="374"/>
      <c r="I84" s="374"/>
      <c r="J84" s="374"/>
      <c r="K84" s="374"/>
      <c r="L84" s="374"/>
      <c r="M84" s="374"/>
    </row>
    <row r="85" spans="1:14" x14ac:dyDescent="0.25">
      <c r="A85" s="376"/>
      <c r="D85" s="786"/>
      <c r="E85" s="380"/>
      <c r="F85" s="380"/>
      <c r="G85" s="374"/>
      <c r="I85" s="374"/>
      <c r="J85" s="374"/>
      <c r="K85" s="374"/>
      <c r="L85" s="374"/>
      <c r="M85" s="374"/>
    </row>
    <row r="86" spans="1:14" x14ac:dyDescent="0.25">
      <c r="A86" s="376"/>
      <c r="D86" s="786"/>
      <c r="E86" s="380"/>
      <c r="F86" s="380"/>
      <c r="G86" s="374"/>
      <c r="I86" s="374"/>
      <c r="J86" s="374"/>
      <c r="K86" s="374"/>
      <c r="L86" s="374"/>
      <c r="M86" s="374"/>
    </row>
    <row r="87" spans="1:14" x14ac:dyDescent="0.25">
      <c r="A87" s="376"/>
      <c r="D87" s="786"/>
      <c r="E87" s="380"/>
      <c r="F87" s="380"/>
      <c r="G87" s="374"/>
      <c r="I87" s="374"/>
      <c r="J87" s="374"/>
      <c r="K87" s="374"/>
      <c r="L87" s="374"/>
      <c r="M87" s="374"/>
    </row>
    <row r="88" spans="1:14" x14ac:dyDescent="0.25">
      <c r="A88" s="376"/>
      <c r="D88" s="786"/>
      <c r="E88" s="380"/>
      <c r="F88" s="380"/>
      <c r="G88" s="374"/>
      <c r="I88" s="374"/>
      <c r="J88" s="374"/>
      <c r="K88" s="374"/>
      <c r="L88" s="374"/>
      <c r="M88" s="374"/>
    </row>
    <row r="89" spans="1:14" x14ac:dyDescent="0.25">
      <c r="A89" s="376"/>
      <c r="D89" s="786"/>
      <c r="E89" s="380"/>
      <c r="F89" s="380"/>
      <c r="G89" s="374"/>
      <c r="I89" s="374"/>
      <c r="J89" s="374"/>
      <c r="K89" s="374"/>
      <c r="L89" s="374"/>
      <c r="M89" s="374"/>
    </row>
    <row r="90" spans="1:14" x14ac:dyDescent="0.25">
      <c r="A90" s="376"/>
      <c r="D90" s="786"/>
      <c r="E90" s="380"/>
      <c r="F90" s="380"/>
      <c r="G90" s="374"/>
      <c r="I90" s="374"/>
      <c r="J90" s="374"/>
      <c r="K90" s="374"/>
      <c r="L90" s="374"/>
      <c r="M90" s="374"/>
    </row>
    <row r="91" spans="1:14" x14ac:dyDescent="0.25">
      <c r="A91" s="376"/>
      <c r="D91" s="786"/>
      <c r="E91" s="380"/>
      <c r="F91" s="380"/>
      <c r="G91" s="374"/>
      <c r="I91" s="374"/>
      <c r="J91" s="374"/>
      <c r="K91" s="374"/>
      <c r="L91" s="374"/>
      <c r="M91" s="374"/>
    </row>
    <row r="92" spans="1:14" x14ac:dyDescent="0.25">
      <c r="D92" s="786"/>
      <c r="E92" s="380"/>
      <c r="F92" s="380"/>
      <c r="G92" s="374"/>
      <c r="I92" s="374"/>
      <c r="J92" s="374"/>
      <c r="K92" s="374"/>
      <c r="L92" s="374"/>
      <c r="M92" s="374"/>
    </row>
    <row r="93" spans="1:14" x14ac:dyDescent="0.25">
      <c r="C93" s="381"/>
      <c r="D93" s="787"/>
      <c r="E93" s="382"/>
    </row>
    <row r="94" spans="1:14" s="375" customFormat="1" x14ac:dyDescent="0.25">
      <c r="A94" s="376"/>
      <c r="B94" s="360"/>
      <c r="C94" s="381"/>
      <c r="D94" s="787"/>
      <c r="E94" s="382"/>
      <c r="G94" s="360"/>
      <c r="H94" s="373"/>
      <c r="I94" s="360"/>
      <c r="J94" s="360"/>
      <c r="K94" s="360"/>
      <c r="L94" s="360"/>
      <c r="M94" s="360"/>
      <c r="N94" s="360"/>
    </row>
    <row r="95" spans="1:14" s="375" customFormat="1" x14ac:dyDescent="0.25">
      <c r="A95" s="376"/>
      <c r="B95" s="360"/>
      <c r="C95" s="381"/>
      <c r="D95" s="787"/>
      <c r="E95" s="382"/>
      <c r="G95" s="360"/>
      <c r="H95" s="373"/>
      <c r="I95" s="360"/>
      <c r="J95" s="360"/>
      <c r="K95" s="360"/>
      <c r="L95" s="360"/>
      <c r="M95" s="360"/>
      <c r="N95" s="360"/>
    </row>
    <row r="96" spans="1:14" s="375" customFormat="1" x14ac:dyDescent="0.25">
      <c r="A96" s="376"/>
      <c r="B96" s="360"/>
      <c r="C96" s="381"/>
      <c r="D96" s="787"/>
      <c r="E96" s="382"/>
      <c r="G96" s="360"/>
      <c r="H96" s="373"/>
      <c r="I96" s="360"/>
      <c r="J96" s="360"/>
      <c r="K96" s="360"/>
      <c r="L96" s="360"/>
      <c r="M96" s="360"/>
      <c r="N96" s="360"/>
    </row>
    <row r="97" spans="1:14" s="375" customFormat="1" x14ac:dyDescent="0.25">
      <c r="A97" s="376"/>
      <c r="B97" s="360"/>
      <c r="C97" s="381"/>
      <c r="D97" s="787"/>
      <c r="E97" s="382"/>
      <c r="G97" s="360"/>
      <c r="H97" s="373"/>
      <c r="I97" s="360"/>
      <c r="J97" s="360"/>
      <c r="K97" s="360"/>
      <c r="L97" s="360"/>
      <c r="M97" s="360"/>
      <c r="N97" s="360"/>
    </row>
    <row r="98" spans="1:14" s="375" customFormat="1" x14ac:dyDescent="0.25">
      <c r="A98" s="376"/>
      <c r="B98" s="360"/>
      <c r="C98" s="381"/>
      <c r="D98" s="787"/>
      <c r="E98" s="382"/>
      <c r="G98" s="360"/>
      <c r="H98" s="373"/>
      <c r="I98" s="360"/>
      <c r="J98" s="360"/>
      <c r="K98" s="360"/>
      <c r="L98" s="360"/>
      <c r="M98" s="360"/>
      <c r="N98" s="360"/>
    </row>
    <row r="99" spans="1:14" s="375" customFormat="1" x14ac:dyDescent="0.25">
      <c r="A99" s="376"/>
      <c r="B99" s="360"/>
      <c r="C99" s="381"/>
      <c r="D99" s="787"/>
      <c r="E99" s="382"/>
      <c r="G99" s="360"/>
      <c r="H99" s="373"/>
      <c r="I99" s="360"/>
      <c r="J99" s="360"/>
      <c r="K99" s="360"/>
      <c r="L99" s="360"/>
      <c r="M99" s="360"/>
      <c r="N99" s="360"/>
    </row>
    <row r="100" spans="1:14" s="375" customFormat="1" x14ac:dyDescent="0.25">
      <c r="A100" s="376"/>
      <c r="B100" s="360"/>
      <c r="C100" s="374"/>
      <c r="D100" s="787"/>
      <c r="E100" s="382"/>
      <c r="G100" s="360"/>
      <c r="H100" s="373"/>
      <c r="I100" s="360"/>
      <c r="J100" s="360"/>
      <c r="K100" s="360"/>
      <c r="L100" s="360"/>
      <c r="M100" s="360"/>
      <c r="N100" s="360"/>
    </row>
    <row r="101" spans="1:14" s="375" customFormat="1" x14ac:dyDescent="0.25">
      <c r="A101" s="376"/>
      <c r="B101" s="360"/>
      <c r="C101" s="374"/>
      <c r="D101" s="787"/>
      <c r="E101" s="382"/>
      <c r="G101" s="360"/>
      <c r="H101" s="373"/>
      <c r="I101" s="360"/>
      <c r="J101" s="360"/>
      <c r="K101" s="360"/>
      <c r="L101" s="360"/>
      <c r="M101" s="360"/>
      <c r="N101" s="360"/>
    </row>
    <row r="102" spans="1:14" s="375" customFormat="1" x14ac:dyDescent="0.25">
      <c r="A102" s="376"/>
      <c r="B102" s="360"/>
      <c r="C102" s="381"/>
      <c r="D102" s="787"/>
      <c r="E102" s="382"/>
      <c r="G102" s="360"/>
      <c r="H102" s="373"/>
      <c r="I102" s="360"/>
      <c r="J102" s="360"/>
      <c r="K102" s="360"/>
      <c r="L102" s="360"/>
      <c r="M102" s="360"/>
      <c r="N102" s="360"/>
    </row>
    <row r="103" spans="1:14" s="375" customFormat="1" x14ac:dyDescent="0.25">
      <c r="A103" s="376"/>
      <c r="B103" s="360"/>
      <c r="C103" s="381"/>
      <c r="D103" s="787"/>
      <c r="E103" s="382"/>
      <c r="G103" s="360"/>
      <c r="H103" s="373"/>
      <c r="I103" s="360"/>
      <c r="J103" s="360"/>
      <c r="K103" s="360"/>
      <c r="L103" s="360"/>
      <c r="M103" s="360"/>
      <c r="N103" s="360"/>
    </row>
    <row r="104" spans="1:14" s="375" customFormat="1" x14ac:dyDescent="0.25">
      <c r="A104" s="376"/>
      <c r="B104" s="360"/>
      <c r="C104" s="381"/>
      <c r="D104" s="787"/>
      <c r="E104" s="382"/>
      <c r="G104" s="360"/>
      <c r="H104" s="373"/>
      <c r="I104" s="360"/>
      <c r="J104" s="360"/>
      <c r="K104" s="360"/>
      <c r="L104" s="360"/>
      <c r="M104" s="360"/>
      <c r="N104" s="360"/>
    </row>
    <row r="105" spans="1:14" s="375" customFormat="1" x14ac:dyDescent="0.25">
      <c r="A105" s="376"/>
      <c r="B105" s="360"/>
      <c r="C105" s="381"/>
      <c r="D105" s="787"/>
      <c r="E105" s="382"/>
      <c r="G105" s="360"/>
      <c r="H105" s="373"/>
      <c r="I105" s="360"/>
      <c r="J105" s="360"/>
      <c r="K105" s="360"/>
      <c r="L105" s="360"/>
      <c r="M105" s="360"/>
      <c r="N105" s="360"/>
    </row>
    <row r="106" spans="1:14" s="375" customFormat="1" x14ac:dyDescent="0.25">
      <c r="A106" s="376"/>
      <c r="B106" s="360"/>
      <c r="C106" s="381"/>
      <c r="D106" s="787"/>
      <c r="E106" s="382"/>
      <c r="G106" s="360"/>
      <c r="H106" s="373"/>
      <c r="I106" s="360"/>
      <c r="J106" s="360"/>
      <c r="K106" s="360"/>
      <c r="L106" s="360"/>
      <c r="M106" s="360"/>
      <c r="N106" s="360"/>
    </row>
    <row r="107" spans="1:14" s="375" customFormat="1" x14ac:dyDescent="0.25">
      <c r="A107" s="376"/>
      <c r="B107" s="360"/>
      <c r="C107" s="381"/>
      <c r="D107" s="787"/>
      <c r="E107" s="382"/>
      <c r="G107" s="360"/>
      <c r="H107" s="373"/>
      <c r="I107" s="360"/>
      <c r="J107" s="360"/>
      <c r="K107" s="360"/>
      <c r="L107" s="360"/>
      <c r="M107" s="360"/>
      <c r="N107" s="360"/>
    </row>
    <row r="108" spans="1:14" s="375" customFormat="1" x14ac:dyDescent="0.25">
      <c r="A108" s="360"/>
      <c r="B108" s="360"/>
      <c r="C108" s="381"/>
      <c r="D108" s="787"/>
      <c r="E108" s="382"/>
      <c r="G108" s="360"/>
      <c r="H108" s="373"/>
      <c r="I108" s="360"/>
      <c r="J108" s="360"/>
      <c r="K108" s="360"/>
      <c r="L108" s="360"/>
      <c r="M108" s="360"/>
      <c r="N108" s="360"/>
    </row>
    <row r="109" spans="1:14" s="375" customFormat="1" x14ac:dyDescent="0.25">
      <c r="A109" s="360"/>
      <c r="B109" s="360"/>
      <c r="C109" s="381"/>
      <c r="D109" s="787"/>
      <c r="E109" s="382"/>
      <c r="G109" s="360"/>
      <c r="H109" s="373"/>
      <c r="I109" s="360"/>
      <c r="J109" s="360"/>
      <c r="K109" s="360"/>
      <c r="L109" s="360"/>
      <c r="M109" s="360"/>
      <c r="N109" s="360"/>
    </row>
    <row r="110" spans="1:14" x14ac:dyDescent="0.25">
      <c r="C110" s="381"/>
      <c r="D110" s="787"/>
      <c r="E110" s="382"/>
    </row>
    <row r="111" spans="1:14" x14ac:dyDescent="0.25">
      <c r="C111" s="381"/>
      <c r="D111" s="787"/>
      <c r="E111" s="382"/>
    </row>
    <row r="112" spans="1:14" x14ac:dyDescent="0.25">
      <c r="C112" s="381"/>
      <c r="D112" s="787"/>
      <c r="E112" s="382"/>
    </row>
    <row r="113" spans="1:13" x14ac:dyDescent="0.25">
      <c r="C113" s="381"/>
      <c r="D113" s="787"/>
      <c r="E113" s="382"/>
    </row>
    <row r="114" spans="1:13" x14ac:dyDescent="0.25">
      <c r="C114" s="381"/>
      <c r="D114" s="787"/>
      <c r="E114" s="382"/>
    </row>
    <row r="115" spans="1:13" x14ac:dyDescent="0.25">
      <c r="C115" s="381"/>
      <c r="D115" s="787"/>
      <c r="E115" s="382"/>
    </row>
    <row r="116" spans="1:13" x14ac:dyDescent="0.25">
      <c r="C116" s="381"/>
      <c r="D116" s="787"/>
      <c r="E116" s="382"/>
    </row>
    <row r="117" spans="1:13" x14ac:dyDescent="0.25">
      <c r="C117" s="381"/>
      <c r="D117" s="787"/>
      <c r="E117" s="382"/>
    </row>
    <row r="118" spans="1:13" x14ac:dyDescent="0.25">
      <c r="C118" s="381"/>
      <c r="D118" s="787"/>
      <c r="E118" s="382"/>
    </row>
    <row r="119" spans="1:13" x14ac:dyDescent="0.25">
      <c r="A119" s="383"/>
      <c r="C119" s="384"/>
      <c r="D119" s="786"/>
      <c r="E119" s="380"/>
      <c r="G119" s="385"/>
      <c r="H119" s="386"/>
      <c r="I119" s="385"/>
      <c r="J119" s="385"/>
      <c r="K119" s="385"/>
      <c r="L119" s="385"/>
      <c r="M119" s="385"/>
    </row>
    <row r="120" spans="1:13" x14ac:dyDescent="0.25">
      <c r="A120" s="383"/>
      <c r="B120" s="385"/>
      <c r="C120" s="384"/>
      <c r="D120" s="786"/>
      <c r="E120" s="380"/>
      <c r="F120" s="380"/>
      <c r="G120" s="387"/>
      <c r="H120" s="569"/>
      <c r="I120" s="387"/>
      <c r="J120" s="387"/>
      <c r="K120" s="387"/>
      <c r="L120" s="387"/>
      <c r="M120" s="387"/>
    </row>
    <row r="121" spans="1:13" x14ac:dyDescent="0.25">
      <c r="A121" s="383"/>
      <c r="B121" s="385"/>
      <c r="C121" s="384"/>
      <c r="G121" s="385"/>
      <c r="H121" s="386"/>
      <c r="I121" s="385"/>
      <c r="J121" s="385"/>
      <c r="K121" s="385"/>
      <c r="L121" s="385"/>
      <c r="M121" s="385"/>
    </row>
    <row r="122" spans="1:13" x14ac:dyDescent="0.25">
      <c r="A122" s="383"/>
      <c r="B122" s="385"/>
      <c r="C122" s="384"/>
      <c r="G122" s="385"/>
      <c r="H122" s="386"/>
      <c r="I122" s="385"/>
      <c r="J122" s="385"/>
      <c r="K122" s="385"/>
      <c r="L122" s="385"/>
      <c r="M122" s="385"/>
    </row>
    <row r="123" spans="1:13" x14ac:dyDescent="0.25">
      <c r="A123" s="383"/>
      <c r="C123" s="384"/>
      <c r="G123" s="385"/>
      <c r="H123" s="386"/>
      <c r="I123" s="385"/>
      <c r="J123" s="385"/>
      <c r="K123" s="385"/>
      <c r="L123" s="385"/>
      <c r="M123" s="385"/>
    </row>
    <row r="124" spans="1:13" x14ac:dyDescent="0.25">
      <c r="A124" s="383"/>
      <c r="C124" s="384"/>
      <c r="G124" s="385"/>
      <c r="H124" s="386"/>
      <c r="I124" s="385"/>
      <c r="J124" s="385"/>
      <c r="K124" s="385"/>
      <c r="L124" s="385"/>
      <c r="M124" s="385"/>
    </row>
    <row r="125" spans="1:13" x14ac:dyDescent="0.25">
      <c r="A125" s="383"/>
      <c r="B125" s="570"/>
      <c r="C125" s="384"/>
      <c r="G125" s="385"/>
      <c r="H125" s="386"/>
      <c r="I125" s="385"/>
      <c r="J125" s="385"/>
      <c r="K125" s="385"/>
      <c r="L125" s="385"/>
      <c r="M125" s="385"/>
    </row>
    <row r="126" spans="1:13" x14ac:dyDescent="0.25">
      <c r="A126" s="383"/>
      <c r="C126" s="384"/>
      <c r="G126" s="385"/>
      <c r="H126" s="386"/>
      <c r="I126" s="385"/>
      <c r="J126" s="385"/>
      <c r="K126" s="385"/>
      <c r="L126" s="385"/>
      <c r="M126" s="385"/>
    </row>
    <row r="127" spans="1:13" x14ac:dyDescent="0.25">
      <c r="A127" s="383"/>
      <c r="B127" s="385"/>
      <c r="C127" s="384"/>
      <c r="G127" s="385"/>
      <c r="H127" s="386"/>
      <c r="I127" s="385"/>
      <c r="J127" s="385"/>
      <c r="K127" s="385"/>
      <c r="L127" s="385"/>
      <c r="M127" s="385"/>
    </row>
    <row r="128" spans="1:13" x14ac:dyDescent="0.25">
      <c r="A128" s="383"/>
      <c r="B128" s="385"/>
      <c r="C128" s="384"/>
      <c r="G128" s="385"/>
      <c r="H128" s="386"/>
      <c r="I128" s="385"/>
      <c r="J128" s="385"/>
      <c r="K128" s="385"/>
      <c r="L128" s="385"/>
      <c r="M128" s="385"/>
    </row>
    <row r="129" spans="1:13" x14ac:dyDescent="0.25">
      <c r="A129" s="383"/>
      <c r="B129" s="385"/>
      <c r="C129" s="384"/>
      <c r="G129" s="385"/>
      <c r="H129" s="386"/>
      <c r="I129" s="385"/>
      <c r="J129" s="385"/>
      <c r="K129" s="385"/>
      <c r="L129" s="385"/>
      <c r="M129" s="385"/>
    </row>
    <row r="130" spans="1:13" x14ac:dyDescent="0.25">
      <c r="A130" s="383"/>
      <c r="B130" s="385"/>
      <c r="C130" s="384"/>
      <c r="G130" s="385"/>
      <c r="H130" s="386"/>
      <c r="I130" s="385"/>
      <c r="J130" s="385"/>
      <c r="K130" s="385"/>
      <c r="L130" s="385"/>
      <c r="M130" s="385"/>
    </row>
    <row r="131" spans="1:13" x14ac:dyDescent="0.25">
      <c r="A131" s="383"/>
      <c r="B131" s="385"/>
      <c r="C131" s="384"/>
      <c r="G131" s="385"/>
      <c r="H131" s="386"/>
      <c r="I131" s="385"/>
      <c r="J131" s="385"/>
      <c r="K131" s="385"/>
      <c r="L131" s="385"/>
      <c r="M131" s="385"/>
    </row>
    <row r="132" spans="1:13" x14ac:dyDescent="0.25">
      <c r="A132" s="383"/>
      <c r="B132" s="385"/>
      <c r="C132" s="384"/>
      <c r="G132" s="385"/>
      <c r="H132" s="386"/>
      <c r="I132" s="385"/>
      <c r="J132" s="385"/>
      <c r="K132" s="385"/>
      <c r="L132" s="385"/>
      <c r="M132" s="385"/>
    </row>
    <row r="133" spans="1:13" x14ac:dyDescent="0.25">
      <c r="C133" s="384"/>
      <c r="G133" s="385"/>
      <c r="H133" s="386"/>
      <c r="I133" s="385"/>
      <c r="J133" s="385"/>
      <c r="K133" s="385"/>
      <c r="L133" s="385"/>
      <c r="M133" s="385"/>
    </row>
    <row r="134" spans="1:13" x14ac:dyDescent="0.25">
      <c r="B134" s="385"/>
      <c r="C134" s="384"/>
      <c r="G134" s="385"/>
      <c r="H134" s="386"/>
      <c r="I134" s="385"/>
      <c r="J134" s="385"/>
      <c r="K134" s="385"/>
      <c r="L134" s="385"/>
      <c r="M134" s="385"/>
    </row>
    <row r="135" spans="1:13" x14ac:dyDescent="0.25">
      <c r="B135" s="385"/>
      <c r="C135" s="384"/>
      <c r="G135" s="385"/>
      <c r="H135" s="386"/>
      <c r="I135" s="385"/>
      <c r="J135" s="385"/>
      <c r="K135" s="385"/>
      <c r="L135" s="385"/>
      <c r="M135" s="385"/>
    </row>
    <row r="136" spans="1:13" x14ac:dyDescent="0.25">
      <c r="B136" s="385"/>
      <c r="C136" s="384"/>
      <c r="G136" s="385"/>
      <c r="H136" s="386"/>
      <c r="I136" s="385"/>
      <c r="J136" s="385"/>
      <c r="K136" s="385"/>
      <c r="L136" s="385"/>
      <c r="M136" s="385"/>
    </row>
    <row r="137" spans="1:13" x14ac:dyDescent="0.25">
      <c r="B137" s="570"/>
      <c r="C137" s="384"/>
      <c r="G137" s="385"/>
      <c r="H137" s="386"/>
      <c r="I137" s="385"/>
      <c r="J137" s="385"/>
      <c r="K137" s="385"/>
      <c r="L137" s="385"/>
      <c r="M137" s="385"/>
    </row>
    <row r="138" spans="1:13" x14ac:dyDescent="0.25">
      <c r="B138" s="385"/>
      <c r="C138" s="384"/>
      <c r="G138" s="385"/>
      <c r="H138" s="386"/>
      <c r="I138" s="385"/>
      <c r="J138" s="385"/>
      <c r="K138" s="385"/>
      <c r="L138" s="385"/>
      <c r="M138" s="385"/>
    </row>
    <row r="139" spans="1:13" x14ac:dyDescent="0.25">
      <c r="B139" s="385"/>
      <c r="C139" s="384"/>
      <c r="G139" s="385"/>
      <c r="H139" s="386"/>
      <c r="I139" s="385"/>
      <c r="J139" s="385"/>
      <c r="K139" s="385"/>
      <c r="L139" s="385"/>
      <c r="M139" s="385"/>
    </row>
    <row r="140" spans="1:13" x14ac:dyDescent="0.25">
      <c r="B140" s="385"/>
      <c r="C140" s="384"/>
      <c r="G140" s="385"/>
      <c r="H140" s="386"/>
      <c r="I140" s="385"/>
      <c r="J140" s="385"/>
      <c r="K140" s="385"/>
      <c r="L140" s="385"/>
      <c r="M140" s="385"/>
    </row>
    <row r="141" spans="1:13" x14ac:dyDescent="0.25">
      <c r="B141" s="385"/>
      <c r="C141" s="384"/>
      <c r="G141" s="385"/>
      <c r="H141" s="386"/>
      <c r="I141" s="385"/>
      <c r="J141" s="385"/>
      <c r="K141" s="385"/>
      <c r="L141" s="385"/>
      <c r="M141" s="385"/>
    </row>
    <row r="142" spans="1:13" x14ac:dyDescent="0.25">
      <c r="B142" s="385"/>
      <c r="C142" s="384"/>
      <c r="G142" s="385"/>
      <c r="H142" s="386"/>
      <c r="I142" s="385"/>
      <c r="J142" s="385"/>
      <c r="K142" s="385"/>
      <c r="L142" s="385"/>
      <c r="M142" s="385"/>
    </row>
    <row r="143" spans="1:13" x14ac:dyDescent="0.25">
      <c r="B143" s="385"/>
      <c r="C143" s="384"/>
      <c r="G143" s="385"/>
      <c r="H143" s="386"/>
      <c r="I143" s="385"/>
      <c r="J143" s="385"/>
      <c r="K143" s="385"/>
      <c r="L143" s="385"/>
      <c r="M143" s="385"/>
    </row>
    <row r="144" spans="1:13" x14ac:dyDescent="0.25">
      <c r="B144" s="385"/>
      <c r="C144" s="384"/>
      <c r="G144" s="385"/>
      <c r="H144" s="386"/>
      <c r="I144" s="385"/>
      <c r="J144" s="385"/>
      <c r="K144" s="385"/>
      <c r="L144" s="385"/>
      <c r="M144" s="385"/>
    </row>
    <row r="145" spans="2:13" x14ac:dyDescent="0.25">
      <c r="B145" s="385"/>
      <c r="C145" s="384"/>
      <c r="G145" s="385"/>
      <c r="H145" s="386"/>
      <c r="I145" s="385"/>
      <c r="J145" s="385"/>
      <c r="K145" s="385"/>
      <c r="L145" s="385"/>
      <c r="M145" s="385"/>
    </row>
    <row r="146" spans="2:13" x14ac:dyDescent="0.25">
      <c r="B146" s="379"/>
      <c r="C146" s="384"/>
      <c r="G146" s="385"/>
      <c r="H146" s="386"/>
      <c r="I146" s="385"/>
      <c r="J146" s="385"/>
      <c r="K146" s="385"/>
      <c r="L146" s="385"/>
      <c r="M146" s="385"/>
    </row>
    <row r="147" spans="2:13" x14ac:dyDescent="0.25">
      <c r="C147" s="384"/>
      <c r="G147" s="385"/>
      <c r="H147" s="386"/>
      <c r="I147" s="385"/>
      <c r="J147" s="385"/>
      <c r="K147" s="385"/>
      <c r="L147" s="385"/>
      <c r="M147" s="385"/>
    </row>
    <row r="148" spans="2:13" x14ac:dyDescent="0.25">
      <c r="B148" s="379"/>
      <c r="C148" s="384"/>
      <c r="G148" s="385"/>
      <c r="H148" s="386"/>
      <c r="I148" s="385"/>
      <c r="J148" s="385"/>
      <c r="K148" s="385"/>
      <c r="L148" s="385"/>
      <c r="M148" s="385"/>
    </row>
    <row r="149" spans="2:13" x14ac:dyDescent="0.25">
      <c r="C149" s="384"/>
      <c r="G149" s="385"/>
      <c r="H149" s="386"/>
      <c r="I149" s="385"/>
      <c r="J149" s="385"/>
      <c r="K149" s="385"/>
      <c r="L149" s="385"/>
      <c r="M149" s="385"/>
    </row>
    <row r="150" spans="2:13" x14ac:dyDescent="0.25">
      <c r="B150" s="385"/>
      <c r="C150" s="384"/>
      <c r="G150" s="385"/>
      <c r="H150" s="386"/>
      <c r="I150" s="385"/>
      <c r="J150" s="385"/>
      <c r="K150" s="385"/>
      <c r="L150" s="385"/>
      <c r="M150" s="385"/>
    </row>
    <row r="151" spans="2:13" x14ac:dyDescent="0.25">
      <c r="B151" s="385"/>
      <c r="C151" s="384"/>
      <c r="G151" s="385"/>
      <c r="H151" s="386"/>
      <c r="I151" s="385"/>
      <c r="J151" s="385"/>
      <c r="K151" s="385"/>
      <c r="L151" s="385"/>
      <c r="M151" s="385"/>
    </row>
    <row r="152" spans="2:13" x14ac:dyDescent="0.25">
      <c r="B152" s="385"/>
      <c r="C152" s="384"/>
      <c r="G152" s="385"/>
      <c r="H152" s="386"/>
      <c r="I152" s="385"/>
      <c r="J152" s="385"/>
      <c r="K152" s="385"/>
      <c r="L152" s="385"/>
      <c r="M152" s="385"/>
    </row>
    <row r="153" spans="2:13" x14ac:dyDescent="0.25">
      <c r="B153" s="379"/>
      <c r="C153" s="384"/>
      <c r="G153" s="385"/>
      <c r="H153" s="386"/>
      <c r="I153" s="385"/>
      <c r="J153" s="385"/>
      <c r="K153" s="385"/>
      <c r="L153" s="385"/>
      <c r="M153" s="385"/>
    </row>
    <row r="154" spans="2:13" x14ac:dyDescent="0.25">
      <c r="C154" s="384"/>
      <c r="G154" s="385"/>
      <c r="H154" s="386"/>
      <c r="I154" s="385"/>
      <c r="J154" s="385"/>
      <c r="K154" s="385"/>
      <c r="L154" s="385"/>
      <c r="M154" s="385"/>
    </row>
    <row r="155" spans="2:13" x14ac:dyDescent="0.25">
      <c r="B155" s="385"/>
      <c r="C155" s="384"/>
      <c r="G155" s="385"/>
      <c r="H155" s="386"/>
      <c r="I155" s="385"/>
      <c r="J155" s="385"/>
      <c r="K155" s="385"/>
      <c r="L155" s="385"/>
      <c r="M155" s="385"/>
    </row>
    <row r="156" spans="2:13" x14ac:dyDescent="0.25">
      <c r="B156" s="385"/>
      <c r="C156" s="384"/>
      <c r="G156" s="385"/>
      <c r="H156" s="386"/>
      <c r="I156" s="385"/>
      <c r="J156" s="385"/>
      <c r="K156" s="385"/>
      <c r="L156" s="385"/>
      <c r="M156" s="385"/>
    </row>
    <row r="157" spans="2:13" x14ac:dyDescent="0.25">
      <c r="B157" s="379"/>
      <c r="C157" s="384"/>
      <c r="G157" s="385"/>
      <c r="H157" s="386"/>
      <c r="I157" s="385"/>
      <c r="J157" s="385"/>
      <c r="K157" s="385"/>
      <c r="L157" s="385"/>
      <c r="M157" s="385"/>
    </row>
    <row r="158" spans="2:13" x14ac:dyDescent="0.25">
      <c r="C158" s="384"/>
      <c r="G158" s="385"/>
      <c r="H158" s="386"/>
      <c r="I158" s="385"/>
      <c r="J158" s="385"/>
      <c r="K158" s="385"/>
      <c r="L158" s="385"/>
      <c r="M158" s="385"/>
    </row>
    <row r="159" spans="2:13" x14ac:dyDescent="0.25">
      <c r="B159" s="570"/>
      <c r="C159" s="390"/>
      <c r="G159" s="385"/>
      <c r="H159" s="386"/>
      <c r="I159" s="385"/>
      <c r="J159" s="385"/>
      <c r="K159" s="385"/>
      <c r="L159" s="385"/>
      <c r="M159" s="385"/>
    </row>
    <row r="160" spans="2:13" x14ac:dyDescent="0.25">
      <c r="B160" s="379"/>
      <c r="C160" s="384"/>
      <c r="G160" s="385"/>
      <c r="H160" s="386"/>
      <c r="I160" s="385"/>
      <c r="J160" s="385"/>
      <c r="K160" s="385"/>
      <c r="L160" s="385"/>
      <c r="M160" s="385"/>
    </row>
    <row r="161" spans="1:13" x14ac:dyDescent="0.25">
      <c r="B161" s="379"/>
      <c r="C161" s="384"/>
      <c r="G161" s="385"/>
      <c r="H161" s="386"/>
      <c r="I161" s="385"/>
      <c r="J161" s="385"/>
      <c r="K161" s="385"/>
      <c r="L161" s="385"/>
      <c r="M161" s="385"/>
    </row>
    <row r="162" spans="1:13" x14ac:dyDescent="0.25">
      <c r="C162" s="384"/>
      <c r="G162" s="385"/>
      <c r="H162" s="386"/>
      <c r="I162" s="385"/>
      <c r="J162" s="385"/>
      <c r="K162" s="385"/>
      <c r="L162" s="385"/>
      <c r="M162" s="385"/>
    </row>
    <row r="163" spans="1:13" x14ac:dyDescent="0.25">
      <c r="G163" s="385"/>
      <c r="H163" s="386"/>
      <c r="I163" s="385"/>
      <c r="J163" s="385"/>
      <c r="K163" s="385"/>
      <c r="L163" s="385"/>
      <c r="M163" s="385"/>
    </row>
    <row r="164" spans="1:13" x14ac:dyDescent="0.25">
      <c r="C164" s="390"/>
      <c r="G164" s="391"/>
      <c r="H164" s="571"/>
      <c r="I164" s="391"/>
      <c r="J164" s="391"/>
      <c r="K164" s="391"/>
      <c r="L164" s="391"/>
      <c r="M164" s="391"/>
    </row>
    <row r="165" spans="1:13" x14ac:dyDescent="0.25">
      <c r="C165" s="390"/>
      <c r="G165" s="391"/>
      <c r="H165" s="571"/>
      <c r="I165" s="391"/>
      <c r="J165" s="391"/>
      <c r="K165" s="391"/>
      <c r="L165" s="391"/>
      <c r="M165" s="391"/>
    </row>
    <row r="167" spans="1:13" x14ac:dyDescent="0.25">
      <c r="A167" s="381"/>
      <c r="C167" s="381"/>
      <c r="D167" s="787"/>
      <c r="E167" s="382"/>
    </row>
    <row r="168" spans="1:13" x14ac:dyDescent="0.25">
      <c r="B168" s="385"/>
      <c r="C168" s="384"/>
      <c r="D168" s="786"/>
      <c r="E168" s="380"/>
      <c r="G168" s="385"/>
      <c r="H168" s="386"/>
      <c r="I168" s="385"/>
      <c r="J168" s="385"/>
      <c r="K168" s="385"/>
      <c r="L168" s="385"/>
      <c r="M168" s="385"/>
    </row>
    <row r="169" spans="1:13" x14ac:dyDescent="0.25">
      <c r="B169" s="385"/>
      <c r="C169" s="384"/>
      <c r="D169" s="786"/>
      <c r="E169" s="380"/>
      <c r="F169" s="380"/>
      <c r="G169" s="387"/>
      <c r="H169" s="569"/>
      <c r="I169" s="387"/>
      <c r="J169" s="387"/>
      <c r="K169" s="387"/>
      <c r="L169" s="387"/>
      <c r="M169" s="387"/>
    </row>
    <row r="170" spans="1:13" x14ac:dyDescent="0.25">
      <c r="B170" s="385"/>
      <c r="C170" s="384"/>
      <c r="G170" s="385"/>
      <c r="H170" s="386"/>
      <c r="I170" s="385"/>
      <c r="J170" s="385"/>
      <c r="K170" s="385"/>
      <c r="L170" s="385"/>
      <c r="M170" s="385"/>
    </row>
    <row r="171" spans="1:13" x14ac:dyDescent="0.25">
      <c r="B171" s="385"/>
      <c r="C171" s="384"/>
      <c r="G171" s="385"/>
      <c r="H171" s="386"/>
      <c r="I171" s="385"/>
      <c r="J171" s="385"/>
      <c r="K171" s="385"/>
      <c r="L171" s="385"/>
      <c r="M171" s="385"/>
    </row>
    <row r="172" spans="1:13" x14ac:dyDescent="0.25">
      <c r="B172" s="385"/>
      <c r="C172" s="384"/>
      <c r="G172" s="385"/>
      <c r="H172" s="386"/>
      <c r="I172" s="385"/>
      <c r="J172" s="385"/>
      <c r="K172" s="385"/>
      <c r="L172" s="385"/>
      <c r="M172" s="385"/>
    </row>
    <row r="173" spans="1:13" x14ac:dyDescent="0.25">
      <c r="B173" s="385"/>
      <c r="C173" s="384"/>
      <c r="G173" s="385"/>
      <c r="H173" s="386"/>
      <c r="I173" s="385"/>
      <c r="J173" s="385"/>
      <c r="K173" s="385"/>
      <c r="L173" s="385"/>
      <c r="M173" s="385"/>
    </row>
    <row r="174" spans="1:13" x14ac:dyDescent="0.25">
      <c r="B174" s="570"/>
      <c r="C174" s="384"/>
      <c r="G174" s="385"/>
      <c r="H174" s="386"/>
      <c r="I174" s="385"/>
      <c r="J174" s="385"/>
      <c r="K174" s="385"/>
      <c r="L174" s="385"/>
      <c r="M174" s="385"/>
    </row>
    <row r="175" spans="1:13" x14ac:dyDescent="0.25">
      <c r="C175" s="384"/>
      <c r="G175" s="385"/>
      <c r="H175" s="386"/>
      <c r="I175" s="385"/>
      <c r="J175" s="385"/>
      <c r="K175" s="385"/>
      <c r="L175" s="385"/>
      <c r="M175" s="385"/>
    </row>
    <row r="176" spans="1:13" x14ac:dyDescent="0.25">
      <c r="B176" s="385"/>
      <c r="C176" s="384"/>
      <c r="G176" s="385"/>
      <c r="H176" s="386"/>
      <c r="I176" s="385"/>
      <c r="J176" s="385"/>
      <c r="K176" s="385"/>
      <c r="L176" s="385"/>
      <c r="M176" s="385"/>
    </row>
    <row r="177" spans="2:13" x14ac:dyDescent="0.25">
      <c r="B177" s="385"/>
      <c r="C177" s="384"/>
      <c r="G177" s="385"/>
      <c r="H177" s="386"/>
      <c r="I177" s="385"/>
      <c r="J177" s="385"/>
      <c r="K177" s="385"/>
      <c r="L177" s="385"/>
      <c r="M177" s="385"/>
    </row>
    <row r="178" spans="2:13" x14ac:dyDescent="0.25">
      <c r="B178" s="385"/>
      <c r="C178" s="384"/>
      <c r="G178" s="385"/>
      <c r="H178" s="386"/>
      <c r="I178" s="385"/>
      <c r="J178" s="385"/>
      <c r="K178" s="385"/>
      <c r="L178" s="385"/>
      <c r="M178" s="385"/>
    </row>
    <row r="179" spans="2:13" x14ac:dyDescent="0.25">
      <c r="B179" s="385"/>
      <c r="C179" s="384"/>
      <c r="G179" s="385"/>
      <c r="H179" s="386"/>
      <c r="I179" s="385"/>
      <c r="J179" s="385"/>
      <c r="K179" s="385"/>
      <c r="L179" s="385"/>
      <c r="M179" s="385"/>
    </row>
    <row r="180" spans="2:13" x14ac:dyDescent="0.25">
      <c r="C180" s="384"/>
      <c r="G180" s="385"/>
      <c r="H180" s="386"/>
      <c r="I180" s="385"/>
      <c r="J180" s="385"/>
      <c r="K180" s="385"/>
      <c r="L180" s="385"/>
      <c r="M180" s="385"/>
    </row>
    <row r="181" spans="2:13" x14ac:dyDescent="0.25">
      <c r="B181" s="385"/>
      <c r="C181" s="384"/>
      <c r="G181" s="385"/>
      <c r="H181" s="386"/>
      <c r="I181" s="385"/>
      <c r="J181" s="385"/>
      <c r="K181" s="385"/>
      <c r="L181" s="385"/>
      <c r="M181" s="385"/>
    </row>
    <row r="182" spans="2:13" x14ac:dyDescent="0.25">
      <c r="B182" s="385"/>
      <c r="C182" s="384"/>
      <c r="G182" s="385"/>
      <c r="H182" s="386"/>
      <c r="I182" s="385"/>
      <c r="J182" s="385"/>
      <c r="K182" s="385"/>
      <c r="L182" s="385"/>
      <c r="M182" s="385"/>
    </row>
    <row r="183" spans="2:13" x14ac:dyDescent="0.25">
      <c r="B183" s="385"/>
      <c r="C183" s="384"/>
      <c r="G183" s="385"/>
      <c r="H183" s="386"/>
      <c r="I183" s="385"/>
      <c r="J183" s="385"/>
      <c r="K183" s="385"/>
      <c r="L183" s="385"/>
      <c r="M183" s="385"/>
    </row>
    <row r="184" spans="2:13" x14ac:dyDescent="0.25">
      <c r="B184" s="570"/>
      <c r="C184" s="384"/>
      <c r="G184" s="385"/>
      <c r="H184" s="386"/>
      <c r="I184" s="385"/>
      <c r="J184" s="385"/>
      <c r="K184" s="385"/>
      <c r="L184" s="385"/>
      <c r="M184" s="385"/>
    </row>
    <row r="185" spans="2:13" x14ac:dyDescent="0.25">
      <c r="B185" s="385"/>
      <c r="C185" s="384"/>
      <c r="G185" s="385"/>
      <c r="H185" s="386"/>
      <c r="I185" s="385"/>
      <c r="J185" s="385"/>
      <c r="K185" s="385"/>
      <c r="L185" s="385"/>
      <c r="M185" s="385"/>
    </row>
    <row r="186" spans="2:13" x14ac:dyDescent="0.25">
      <c r="B186" s="385"/>
      <c r="C186" s="384"/>
      <c r="G186" s="385"/>
      <c r="H186" s="386"/>
      <c r="I186" s="385"/>
      <c r="J186" s="385"/>
      <c r="K186" s="385"/>
      <c r="L186" s="385"/>
      <c r="M186" s="385"/>
    </row>
    <row r="187" spans="2:13" x14ac:dyDescent="0.25">
      <c r="B187" s="385"/>
      <c r="C187" s="384"/>
      <c r="G187" s="385"/>
      <c r="H187" s="386"/>
      <c r="I187" s="385"/>
      <c r="J187" s="385"/>
      <c r="K187" s="385"/>
      <c r="L187" s="385"/>
      <c r="M187" s="385"/>
    </row>
    <row r="188" spans="2:13" x14ac:dyDescent="0.25">
      <c r="B188" s="385"/>
      <c r="C188" s="384"/>
      <c r="G188" s="385"/>
      <c r="H188" s="386"/>
      <c r="I188" s="385"/>
      <c r="J188" s="385"/>
      <c r="K188" s="385"/>
      <c r="L188" s="385"/>
      <c r="M188" s="385"/>
    </row>
    <row r="189" spans="2:13" x14ac:dyDescent="0.25">
      <c r="B189" s="385"/>
      <c r="C189" s="384"/>
      <c r="G189" s="385"/>
      <c r="H189" s="386"/>
      <c r="I189" s="385"/>
      <c r="J189" s="385"/>
      <c r="K189" s="385"/>
      <c r="L189" s="385"/>
      <c r="M189" s="385"/>
    </row>
    <row r="190" spans="2:13" x14ac:dyDescent="0.25">
      <c r="B190" s="385"/>
      <c r="C190" s="384"/>
      <c r="G190" s="385"/>
      <c r="H190" s="386"/>
      <c r="I190" s="385"/>
      <c r="J190" s="385"/>
      <c r="K190" s="385"/>
      <c r="L190" s="385"/>
      <c r="M190" s="385"/>
    </row>
    <row r="191" spans="2:13" x14ac:dyDescent="0.25">
      <c r="B191" s="385"/>
      <c r="C191" s="384"/>
      <c r="G191" s="385"/>
      <c r="H191" s="386"/>
      <c r="I191" s="385"/>
      <c r="J191" s="385"/>
      <c r="K191" s="385"/>
      <c r="L191" s="385"/>
      <c r="M191" s="385"/>
    </row>
    <row r="192" spans="2:13" x14ac:dyDescent="0.25">
      <c r="B192" s="385"/>
      <c r="C192" s="384"/>
      <c r="G192" s="385"/>
      <c r="H192" s="386"/>
      <c r="I192" s="385"/>
      <c r="J192" s="385"/>
      <c r="K192" s="385"/>
      <c r="L192" s="385"/>
      <c r="M192" s="385"/>
    </row>
    <row r="193" spans="2:13" x14ac:dyDescent="0.25">
      <c r="B193" s="379"/>
      <c r="C193" s="384"/>
      <c r="G193" s="385"/>
      <c r="H193" s="386"/>
      <c r="I193" s="385"/>
      <c r="J193" s="385"/>
      <c r="K193" s="385"/>
      <c r="L193" s="385"/>
      <c r="M193" s="385"/>
    </row>
    <row r="194" spans="2:13" x14ac:dyDescent="0.25">
      <c r="C194" s="384"/>
      <c r="G194" s="385"/>
      <c r="H194" s="386"/>
      <c r="I194" s="385"/>
      <c r="J194" s="385"/>
      <c r="K194" s="385"/>
      <c r="L194" s="385"/>
      <c r="M194" s="385"/>
    </row>
    <row r="195" spans="2:13" x14ac:dyDescent="0.25">
      <c r="B195" s="379"/>
      <c r="C195" s="384"/>
      <c r="G195" s="385"/>
      <c r="H195" s="386"/>
      <c r="I195" s="385"/>
      <c r="J195" s="385"/>
      <c r="K195" s="385"/>
      <c r="L195" s="385"/>
      <c r="M195" s="385"/>
    </row>
    <row r="196" spans="2:13" x14ac:dyDescent="0.25">
      <c r="C196" s="384"/>
      <c r="G196" s="385"/>
      <c r="H196" s="386"/>
      <c r="I196" s="385"/>
      <c r="J196" s="385"/>
      <c r="K196" s="385"/>
      <c r="L196" s="385"/>
      <c r="M196" s="385"/>
    </row>
    <row r="197" spans="2:13" x14ac:dyDescent="0.25">
      <c r="B197" s="385"/>
      <c r="C197" s="384"/>
      <c r="G197" s="385"/>
      <c r="H197" s="386"/>
      <c r="I197" s="385"/>
      <c r="J197" s="385"/>
      <c r="K197" s="385"/>
      <c r="L197" s="385"/>
      <c r="M197" s="385"/>
    </row>
    <row r="198" spans="2:13" x14ac:dyDescent="0.25">
      <c r="B198" s="385"/>
      <c r="C198" s="384"/>
      <c r="G198" s="385"/>
      <c r="H198" s="386"/>
      <c r="I198" s="385"/>
      <c r="J198" s="385"/>
      <c r="K198" s="385"/>
      <c r="L198" s="385"/>
      <c r="M198" s="385"/>
    </row>
    <row r="199" spans="2:13" x14ac:dyDescent="0.25">
      <c r="B199" s="385"/>
      <c r="C199" s="384"/>
      <c r="G199" s="385"/>
      <c r="H199" s="386"/>
      <c r="I199" s="385"/>
      <c r="J199" s="385"/>
      <c r="K199" s="385"/>
      <c r="L199" s="385"/>
      <c r="M199" s="385"/>
    </row>
    <row r="200" spans="2:13" x14ac:dyDescent="0.25">
      <c r="B200" s="379"/>
      <c r="C200" s="384"/>
      <c r="G200" s="385"/>
      <c r="H200" s="386"/>
      <c r="I200" s="385"/>
      <c r="J200" s="385"/>
      <c r="K200" s="385"/>
      <c r="L200" s="385"/>
      <c r="M200" s="385"/>
    </row>
    <row r="201" spans="2:13" x14ac:dyDescent="0.25">
      <c r="C201" s="384"/>
      <c r="G201" s="385"/>
      <c r="H201" s="386"/>
      <c r="I201" s="385"/>
      <c r="J201" s="385"/>
      <c r="K201" s="385"/>
      <c r="L201" s="385"/>
      <c r="M201" s="385"/>
    </row>
    <row r="202" spans="2:13" x14ac:dyDescent="0.25">
      <c r="B202" s="385"/>
      <c r="C202" s="384"/>
      <c r="G202" s="385"/>
      <c r="H202" s="386"/>
      <c r="I202" s="385"/>
      <c r="J202" s="385"/>
      <c r="K202" s="385"/>
      <c r="L202" s="385"/>
      <c r="M202" s="385"/>
    </row>
    <row r="203" spans="2:13" x14ac:dyDescent="0.25">
      <c r="B203" s="385"/>
      <c r="C203" s="384"/>
      <c r="G203" s="385"/>
      <c r="H203" s="386"/>
      <c r="I203" s="385"/>
      <c r="J203" s="385"/>
      <c r="K203" s="385"/>
      <c r="L203" s="385"/>
      <c r="M203" s="385"/>
    </row>
    <row r="204" spans="2:13" x14ac:dyDescent="0.25">
      <c r="B204" s="379"/>
      <c r="C204" s="384"/>
      <c r="G204" s="385"/>
      <c r="H204" s="386"/>
      <c r="I204" s="385"/>
      <c r="J204" s="385"/>
      <c r="K204" s="385"/>
      <c r="L204" s="385"/>
      <c r="M204" s="385"/>
    </row>
    <row r="205" spans="2:13" x14ac:dyDescent="0.25">
      <c r="C205" s="384"/>
      <c r="G205" s="385"/>
      <c r="H205" s="386"/>
      <c r="I205" s="385"/>
      <c r="J205" s="385"/>
      <c r="K205" s="385"/>
      <c r="L205" s="385"/>
      <c r="M205" s="385"/>
    </row>
    <row r="206" spans="2:13" x14ac:dyDescent="0.25">
      <c r="B206" s="570"/>
      <c r="C206" s="390"/>
      <c r="G206" s="385"/>
      <c r="H206" s="386"/>
      <c r="I206" s="385"/>
      <c r="J206" s="385"/>
      <c r="K206" s="385"/>
      <c r="L206" s="385"/>
      <c r="M206" s="385"/>
    </row>
    <row r="207" spans="2:13" x14ac:dyDescent="0.25">
      <c r="B207" s="379"/>
      <c r="C207" s="384"/>
      <c r="G207" s="385"/>
      <c r="H207" s="386"/>
      <c r="I207" s="385"/>
      <c r="J207" s="385"/>
      <c r="K207" s="385"/>
      <c r="L207" s="385"/>
      <c r="M207" s="385"/>
    </row>
    <row r="208" spans="2:13" x14ac:dyDescent="0.25">
      <c r="B208" s="379"/>
      <c r="C208" s="384"/>
      <c r="G208" s="385"/>
      <c r="H208" s="386"/>
      <c r="I208" s="385"/>
      <c r="J208" s="385"/>
      <c r="K208" s="385"/>
      <c r="L208" s="385"/>
      <c r="M208" s="385"/>
    </row>
    <row r="209" spans="1:13" x14ac:dyDescent="0.25">
      <c r="C209" s="390"/>
      <c r="G209" s="385"/>
      <c r="H209" s="386"/>
      <c r="I209" s="385"/>
      <c r="J209" s="385"/>
      <c r="K209" s="385"/>
      <c r="L209" s="385"/>
      <c r="M209" s="385"/>
    </row>
    <row r="210" spans="1:13" x14ac:dyDescent="0.25">
      <c r="G210" s="385"/>
      <c r="H210" s="386"/>
      <c r="I210" s="385"/>
      <c r="J210" s="385"/>
      <c r="K210" s="385"/>
      <c r="L210" s="385"/>
      <c r="M210" s="385"/>
    </row>
    <row r="211" spans="1:13" x14ac:dyDescent="0.25">
      <c r="K211" s="391"/>
      <c r="L211" s="391"/>
      <c r="M211" s="391"/>
    </row>
    <row r="213" spans="1:13" x14ac:dyDescent="0.25">
      <c r="A213" s="381"/>
      <c r="C213" s="381"/>
      <c r="D213" s="787"/>
      <c r="E213" s="382"/>
    </row>
    <row r="214" spans="1:13" x14ac:dyDescent="0.25">
      <c r="B214" s="385"/>
      <c r="C214" s="384"/>
      <c r="D214" s="786"/>
      <c r="E214" s="380"/>
      <c r="G214" s="385"/>
      <c r="H214" s="386"/>
      <c r="I214" s="385"/>
      <c r="J214" s="385"/>
      <c r="K214" s="385"/>
      <c r="L214" s="385"/>
      <c r="M214" s="385"/>
    </row>
    <row r="215" spans="1:13" x14ac:dyDescent="0.25">
      <c r="B215" s="385"/>
      <c r="C215" s="384"/>
      <c r="D215" s="786"/>
      <c r="E215" s="380"/>
      <c r="F215" s="380"/>
      <c r="G215" s="387"/>
      <c r="H215" s="569"/>
      <c r="I215" s="387"/>
      <c r="J215" s="387"/>
      <c r="K215" s="387"/>
      <c r="L215" s="387"/>
      <c r="M215" s="387"/>
    </row>
    <row r="216" spans="1:13" x14ac:dyDescent="0.25">
      <c r="B216" s="385"/>
      <c r="C216" s="384"/>
      <c r="G216" s="385"/>
      <c r="H216" s="386"/>
      <c r="I216" s="385"/>
      <c r="J216" s="385"/>
      <c r="K216" s="385"/>
      <c r="L216" s="385"/>
      <c r="M216" s="385"/>
    </row>
    <row r="217" spans="1:13" x14ac:dyDescent="0.25">
      <c r="B217" s="385"/>
      <c r="C217" s="384"/>
      <c r="G217" s="385"/>
      <c r="H217" s="386"/>
      <c r="I217" s="385"/>
      <c r="J217" s="385"/>
      <c r="K217" s="385"/>
      <c r="L217" s="385"/>
      <c r="M217" s="385"/>
    </row>
    <row r="218" spans="1:13" x14ac:dyDescent="0.25">
      <c r="B218" s="385"/>
      <c r="C218" s="384"/>
      <c r="G218" s="385"/>
      <c r="H218" s="386"/>
      <c r="I218" s="385"/>
      <c r="J218" s="385"/>
      <c r="K218" s="385"/>
      <c r="L218" s="385"/>
      <c r="M218" s="385"/>
    </row>
    <row r="219" spans="1:13" x14ac:dyDescent="0.25">
      <c r="B219" s="385"/>
      <c r="C219" s="384"/>
      <c r="G219" s="385"/>
      <c r="H219" s="386"/>
      <c r="I219" s="385"/>
      <c r="J219" s="385"/>
      <c r="K219" s="385"/>
      <c r="L219" s="385"/>
      <c r="M219" s="385"/>
    </row>
    <row r="220" spans="1:13" x14ac:dyDescent="0.25">
      <c r="B220" s="570"/>
      <c r="C220" s="384"/>
      <c r="G220" s="385"/>
      <c r="H220" s="386"/>
      <c r="I220" s="385"/>
      <c r="J220" s="385"/>
      <c r="K220" s="385"/>
      <c r="L220" s="385"/>
      <c r="M220" s="385"/>
    </row>
    <row r="221" spans="1:13" x14ac:dyDescent="0.25">
      <c r="C221" s="384"/>
      <c r="G221" s="385"/>
      <c r="H221" s="386"/>
      <c r="I221" s="385"/>
      <c r="J221" s="385"/>
      <c r="K221" s="385"/>
      <c r="L221" s="385"/>
      <c r="M221" s="385"/>
    </row>
    <row r="222" spans="1:13" x14ac:dyDescent="0.25">
      <c r="B222" s="385"/>
      <c r="C222" s="384"/>
      <c r="G222" s="385"/>
      <c r="H222" s="386"/>
      <c r="I222" s="385"/>
      <c r="J222" s="385"/>
      <c r="K222" s="385"/>
      <c r="L222" s="385"/>
      <c r="M222" s="385"/>
    </row>
    <row r="223" spans="1:13" x14ac:dyDescent="0.25">
      <c r="B223" s="385"/>
      <c r="C223" s="384"/>
      <c r="G223" s="385"/>
      <c r="H223" s="386"/>
      <c r="I223" s="385"/>
      <c r="J223" s="385"/>
      <c r="K223" s="385"/>
      <c r="L223" s="385"/>
      <c r="M223" s="385"/>
    </row>
    <row r="224" spans="1:13" x14ac:dyDescent="0.25">
      <c r="B224" s="385"/>
      <c r="C224" s="384"/>
      <c r="G224" s="385"/>
      <c r="H224" s="386"/>
      <c r="I224" s="385"/>
      <c r="J224" s="385"/>
      <c r="K224" s="385"/>
      <c r="L224" s="385"/>
      <c r="M224" s="385"/>
    </row>
    <row r="225" spans="2:13" x14ac:dyDescent="0.25">
      <c r="B225" s="385"/>
      <c r="C225" s="384"/>
      <c r="G225" s="385"/>
      <c r="H225" s="386"/>
      <c r="I225" s="385"/>
      <c r="J225" s="385"/>
      <c r="K225" s="385"/>
      <c r="L225" s="385"/>
      <c r="M225" s="385"/>
    </row>
    <row r="226" spans="2:13" x14ac:dyDescent="0.25">
      <c r="C226" s="384"/>
      <c r="G226" s="385"/>
      <c r="H226" s="386"/>
      <c r="I226" s="385"/>
      <c r="J226" s="385"/>
      <c r="K226" s="385"/>
      <c r="L226" s="385"/>
      <c r="M226" s="385"/>
    </row>
    <row r="227" spans="2:13" x14ac:dyDescent="0.25">
      <c r="B227" s="385"/>
      <c r="C227" s="384"/>
      <c r="G227" s="385"/>
      <c r="H227" s="386"/>
      <c r="I227" s="385"/>
      <c r="J227" s="385"/>
      <c r="K227" s="385"/>
      <c r="L227" s="385"/>
      <c r="M227" s="385"/>
    </row>
    <row r="228" spans="2:13" x14ac:dyDescent="0.25">
      <c r="B228" s="385"/>
      <c r="C228" s="384"/>
      <c r="G228" s="385"/>
      <c r="H228" s="386"/>
      <c r="I228" s="385"/>
      <c r="J228" s="385"/>
      <c r="K228" s="385"/>
      <c r="L228" s="385"/>
      <c r="M228" s="385"/>
    </row>
    <row r="229" spans="2:13" x14ac:dyDescent="0.25">
      <c r="B229" s="385"/>
      <c r="C229" s="384"/>
      <c r="G229" s="385"/>
      <c r="H229" s="386"/>
      <c r="I229" s="385"/>
      <c r="J229" s="385"/>
      <c r="K229" s="385"/>
      <c r="L229" s="385"/>
      <c r="M229" s="385"/>
    </row>
    <row r="230" spans="2:13" x14ac:dyDescent="0.25">
      <c r="B230" s="570"/>
      <c r="C230" s="384"/>
      <c r="G230" s="385"/>
      <c r="H230" s="386"/>
      <c r="I230" s="385"/>
      <c r="J230" s="385"/>
      <c r="K230" s="385"/>
      <c r="L230" s="385"/>
      <c r="M230" s="385"/>
    </row>
    <row r="231" spans="2:13" x14ac:dyDescent="0.25">
      <c r="B231" s="385"/>
      <c r="C231" s="384"/>
      <c r="G231" s="385"/>
      <c r="H231" s="386"/>
      <c r="I231" s="385"/>
      <c r="J231" s="385"/>
      <c r="K231" s="385"/>
      <c r="L231" s="385"/>
      <c r="M231" s="385"/>
    </row>
    <row r="232" spans="2:13" x14ac:dyDescent="0.25">
      <c r="B232" s="385"/>
      <c r="C232" s="384"/>
      <c r="G232" s="385"/>
      <c r="H232" s="386"/>
      <c r="I232" s="385"/>
      <c r="J232" s="385"/>
      <c r="K232" s="385"/>
      <c r="L232" s="385"/>
      <c r="M232" s="385"/>
    </row>
    <row r="233" spans="2:13" x14ac:dyDescent="0.25">
      <c r="B233" s="385"/>
      <c r="C233" s="384"/>
      <c r="G233" s="385"/>
      <c r="H233" s="386"/>
      <c r="I233" s="385"/>
      <c r="J233" s="385"/>
      <c r="K233" s="385"/>
      <c r="L233" s="385"/>
      <c r="M233" s="385"/>
    </row>
    <row r="234" spans="2:13" x14ac:dyDescent="0.25">
      <c r="B234" s="385"/>
      <c r="C234" s="384"/>
      <c r="G234" s="385"/>
      <c r="H234" s="386"/>
      <c r="I234" s="385"/>
      <c r="J234" s="385"/>
      <c r="K234" s="385"/>
      <c r="L234" s="385"/>
      <c r="M234" s="385"/>
    </row>
    <row r="235" spans="2:13" x14ac:dyDescent="0.25">
      <c r="B235" s="385"/>
      <c r="C235" s="384"/>
      <c r="G235" s="385"/>
      <c r="H235" s="386"/>
      <c r="I235" s="385"/>
      <c r="J235" s="385"/>
      <c r="K235" s="385"/>
      <c r="L235" s="385"/>
      <c r="M235" s="385"/>
    </row>
    <row r="236" spans="2:13" x14ac:dyDescent="0.25">
      <c r="B236" s="385"/>
      <c r="C236" s="384"/>
      <c r="G236" s="385"/>
      <c r="H236" s="386"/>
      <c r="I236" s="385"/>
      <c r="J236" s="385"/>
      <c r="K236" s="385"/>
      <c r="L236" s="385"/>
      <c r="M236" s="385"/>
    </row>
    <row r="237" spans="2:13" x14ac:dyDescent="0.25">
      <c r="B237" s="385"/>
      <c r="C237" s="384"/>
      <c r="G237" s="385"/>
      <c r="H237" s="386"/>
      <c r="I237" s="385"/>
      <c r="J237" s="385"/>
      <c r="K237" s="385"/>
      <c r="L237" s="385"/>
      <c r="M237" s="385"/>
    </row>
    <row r="238" spans="2:13" x14ac:dyDescent="0.25">
      <c r="B238" s="385"/>
      <c r="C238" s="384"/>
      <c r="G238" s="385"/>
      <c r="H238" s="386"/>
      <c r="I238" s="385"/>
      <c r="J238" s="385"/>
      <c r="K238" s="385"/>
      <c r="L238" s="385"/>
      <c r="M238" s="385"/>
    </row>
    <row r="239" spans="2:13" x14ac:dyDescent="0.25">
      <c r="B239" s="379"/>
      <c r="C239" s="384"/>
      <c r="G239" s="385"/>
      <c r="H239" s="386"/>
      <c r="I239" s="385"/>
      <c r="J239" s="385"/>
      <c r="K239" s="385"/>
      <c r="L239" s="385"/>
      <c r="M239" s="385"/>
    </row>
    <row r="240" spans="2:13" x14ac:dyDescent="0.25">
      <c r="C240" s="384"/>
      <c r="G240" s="385"/>
      <c r="H240" s="386"/>
      <c r="I240" s="385"/>
      <c r="J240" s="385"/>
      <c r="K240" s="385"/>
      <c r="L240" s="385"/>
      <c r="M240" s="385"/>
    </row>
    <row r="241" spans="2:13" x14ac:dyDescent="0.25">
      <c r="B241" s="379"/>
      <c r="C241" s="384"/>
      <c r="G241" s="385"/>
      <c r="H241" s="386"/>
      <c r="I241" s="385"/>
      <c r="J241" s="385"/>
      <c r="K241" s="385"/>
      <c r="L241" s="385"/>
      <c r="M241" s="385"/>
    </row>
    <row r="242" spans="2:13" x14ac:dyDescent="0.25">
      <c r="C242" s="384"/>
      <c r="G242" s="385"/>
      <c r="H242" s="386"/>
      <c r="I242" s="385"/>
      <c r="J242" s="385"/>
      <c r="K242" s="385"/>
      <c r="L242" s="385"/>
      <c r="M242" s="385"/>
    </row>
    <row r="243" spans="2:13" x14ac:dyDescent="0.25">
      <c r="B243" s="385"/>
      <c r="C243" s="384"/>
      <c r="G243" s="385"/>
      <c r="H243" s="386"/>
      <c r="I243" s="385"/>
      <c r="J243" s="385"/>
      <c r="K243" s="385"/>
      <c r="L243" s="385"/>
      <c r="M243" s="385"/>
    </row>
    <row r="244" spans="2:13" x14ac:dyDescent="0.25">
      <c r="B244" s="385"/>
      <c r="C244" s="384"/>
      <c r="G244" s="385"/>
      <c r="H244" s="386"/>
      <c r="I244" s="385"/>
      <c r="J244" s="385"/>
      <c r="K244" s="385"/>
      <c r="L244" s="385"/>
      <c r="M244" s="385"/>
    </row>
    <row r="245" spans="2:13" x14ac:dyDescent="0.25">
      <c r="B245" s="385"/>
      <c r="C245" s="384"/>
      <c r="G245" s="385"/>
      <c r="H245" s="386"/>
      <c r="I245" s="385"/>
      <c r="J245" s="385"/>
      <c r="K245" s="385"/>
      <c r="L245" s="385"/>
      <c r="M245" s="385"/>
    </row>
    <row r="246" spans="2:13" x14ac:dyDescent="0.25">
      <c r="B246" s="379"/>
      <c r="C246" s="384"/>
      <c r="G246" s="385"/>
      <c r="H246" s="386"/>
      <c r="I246" s="385"/>
      <c r="J246" s="385"/>
      <c r="K246" s="385"/>
      <c r="L246" s="385"/>
      <c r="M246" s="385"/>
    </row>
    <row r="247" spans="2:13" x14ac:dyDescent="0.25">
      <c r="C247" s="384"/>
      <c r="G247" s="385"/>
      <c r="H247" s="386"/>
      <c r="I247" s="385"/>
      <c r="J247" s="385"/>
      <c r="K247" s="385"/>
      <c r="L247" s="385"/>
      <c r="M247" s="385"/>
    </row>
    <row r="248" spans="2:13" x14ac:dyDescent="0.25">
      <c r="B248" s="385"/>
      <c r="C248" s="384"/>
      <c r="G248" s="385"/>
      <c r="H248" s="386"/>
      <c r="I248" s="385"/>
      <c r="J248" s="385"/>
      <c r="K248" s="385"/>
      <c r="L248" s="385"/>
      <c r="M248" s="385"/>
    </row>
    <row r="249" spans="2:13" x14ac:dyDescent="0.25">
      <c r="B249" s="385"/>
      <c r="C249" s="384"/>
      <c r="G249" s="385"/>
      <c r="H249" s="386"/>
      <c r="I249" s="385"/>
      <c r="J249" s="385"/>
      <c r="K249" s="385"/>
      <c r="L249" s="385"/>
      <c r="M249" s="385"/>
    </row>
    <row r="250" spans="2:13" x14ac:dyDescent="0.25">
      <c r="B250" s="379"/>
      <c r="C250" s="384"/>
      <c r="G250" s="385"/>
      <c r="H250" s="386"/>
      <c r="I250" s="385"/>
      <c r="J250" s="385"/>
      <c r="K250" s="385"/>
      <c r="L250" s="385"/>
      <c r="M250" s="385"/>
    </row>
    <row r="251" spans="2:13" x14ac:dyDescent="0.25">
      <c r="C251" s="384"/>
      <c r="G251" s="385"/>
      <c r="H251" s="386"/>
      <c r="I251" s="385"/>
      <c r="J251" s="385"/>
      <c r="K251" s="385"/>
      <c r="L251" s="385"/>
      <c r="M251" s="385"/>
    </row>
    <row r="252" spans="2:13" x14ac:dyDescent="0.25">
      <c r="B252" s="570"/>
      <c r="C252" s="390"/>
      <c r="G252" s="385"/>
      <c r="H252" s="386"/>
      <c r="I252" s="385"/>
      <c r="J252" s="385"/>
      <c r="K252" s="385"/>
      <c r="L252" s="385"/>
      <c r="M252" s="385"/>
    </row>
    <row r="253" spans="2:13" x14ac:dyDescent="0.25">
      <c r="B253" s="379"/>
      <c r="C253" s="384"/>
      <c r="G253" s="385"/>
      <c r="H253" s="386"/>
      <c r="I253" s="385"/>
      <c r="J253" s="385"/>
      <c r="K253" s="385"/>
      <c r="L253" s="385"/>
      <c r="M253" s="385"/>
    </row>
    <row r="254" spans="2:13" x14ac:dyDescent="0.25">
      <c r="B254" s="379"/>
      <c r="C254" s="384"/>
      <c r="G254" s="385"/>
      <c r="H254" s="386"/>
      <c r="I254" s="385"/>
      <c r="J254" s="385"/>
      <c r="K254" s="385"/>
      <c r="L254" s="385"/>
      <c r="M254" s="385"/>
    </row>
    <row r="255" spans="2:13" x14ac:dyDescent="0.25">
      <c r="C255" s="390"/>
      <c r="G255" s="385"/>
      <c r="H255" s="386"/>
      <c r="I255" s="385"/>
      <c r="J255" s="385"/>
      <c r="K255" s="385"/>
      <c r="L255" s="385"/>
      <c r="M255" s="385"/>
    </row>
    <row r="256" spans="2:13" x14ac:dyDescent="0.25">
      <c r="G256" s="385"/>
      <c r="H256" s="386"/>
      <c r="I256" s="385"/>
      <c r="J256" s="385"/>
      <c r="K256" s="385"/>
      <c r="L256" s="385"/>
      <c r="M256" s="385"/>
    </row>
    <row r="257" spans="1:13" x14ac:dyDescent="0.25">
      <c r="K257" s="391"/>
      <c r="L257" s="391"/>
      <c r="M257" s="391"/>
    </row>
    <row r="260" spans="1:13" x14ac:dyDescent="0.25">
      <c r="A260" s="381"/>
      <c r="C260" s="381"/>
      <c r="D260" s="787"/>
      <c r="E260" s="382"/>
    </row>
    <row r="261" spans="1:13" x14ac:dyDescent="0.25">
      <c r="B261" s="385"/>
      <c r="C261" s="384"/>
      <c r="D261" s="786"/>
      <c r="E261" s="380"/>
      <c r="G261" s="385"/>
      <c r="H261" s="386"/>
      <c r="I261" s="385"/>
      <c r="J261" s="385"/>
      <c r="K261" s="385"/>
      <c r="L261" s="385"/>
      <c r="M261" s="385"/>
    </row>
    <row r="262" spans="1:13" x14ac:dyDescent="0.25">
      <c r="B262" s="385"/>
      <c r="C262" s="384"/>
      <c r="D262" s="786"/>
      <c r="E262" s="380"/>
      <c r="F262" s="380"/>
      <c r="G262" s="387"/>
      <c r="H262" s="569"/>
      <c r="I262" s="387"/>
      <c r="J262" s="387"/>
      <c r="K262" s="387"/>
      <c r="L262" s="387"/>
      <c r="M262" s="387"/>
    </row>
    <row r="263" spans="1:13" x14ac:dyDescent="0.25">
      <c r="B263" s="385"/>
      <c r="C263" s="384"/>
      <c r="G263" s="385"/>
      <c r="H263" s="386"/>
      <c r="I263" s="385"/>
      <c r="J263" s="385"/>
      <c r="K263" s="385"/>
      <c r="L263" s="385"/>
      <c r="M263" s="385"/>
    </row>
    <row r="264" spans="1:13" x14ac:dyDescent="0.25">
      <c r="B264" s="385"/>
      <c r="C264" s="384"/>
      <c r="G264" s="385"/>
      <c r="H264" s="386"/>
      <c r="I264" s="385"/>
      <c r="J264" s="385"/>
      <c r="K264" s="385"/>
      <c r="L264" s="385"/>
      <c r="M264" s="385"/>
    </row>
    <row r="265" spans="1:13" x14ac:dyDescent="0.25">
      <c r="B265" s="385"/>
      <c r="C265" s="384"/>
      <c r="G265" s="385"/>
      <c r="H265" s="386"/>
      <c r="I265" s="385"/>
      <c r="J265" s="385"/>
      <c r="K265" s="385"/>
      <c r="L265" s="385"/>
      <c r="M265" s="385"/>
    </row>
    <row r="266" spans="1:13" x14ac:dyDescent="0.25">
      <c r="B266" s="385"/>
      <c r="C266" s="384"/>
      <c r="G266" s="385"/>
      <c r="H266" s="386"/>
      <c r="I266" s="385"/>
      <c r="J266" s="385"/>
      <c r="K266" s="385"/>
      <c r="L266" s="385"/>
      <c r="M266" s="385"/>
    </row>
    <row r="267" spans="1:13" x14ac:dyDescent="0.25">
      <c r="B267" s="570"/>
      <c r="C267" s="384"/>
      <c r="G267" s="385"/>
      <c r="H267" s="386"/>
      <c r="I267" s="385"/>
      <c r="J267" s="385"/>
      <c r="K267" s="385"/>
      <c r="L267" s="385"/>
      <c r="M267" s="385"/>
    </row>
    <row r="268" spans="1:13" x14ac:dyDescent="0.25">
      <c r="C268" s="384"/>
      <c r="G268" s="385"/>
      <c r="H268" s="386"/>
      <c r="I268" s="385"/>
      <c r="J268" s="385"/>
      <c r="K268" s="385"/>
      <c r="L268" s="385"/>
      <c r="M268" s="385"/>
    </row>
    <row r="269" spans="1:13" x14ac:dyDescent="0.25">
      <c r="B269" s="385"/>
      <c r="C269" s="384"/>
      <c r="G269" s="385"/>
      <c r="H269" s="386"/>
      <c r="I269" s="385"/>
      <c r="J269" s="385"/>
      <c r="K269" s="385"/>
      <c r="L269" s="385"/>
      <c r="M269" s="385"/>
    </row>
    <row r="270" spans="1:13" x14ac:dyDescent="0.25">
      <c r="B270" s="385"/>
      <c r="C270" s="384"/>
      <c r="G270" s="385"/>
      <c r="H270" s="386"/>
      <c r="I270" s="385"/>
      <c r="J270" s="385"/>
      <c r="K270" s="385"/>
      <c r="L270" s="385"/>
      <c r="M270" s="385"/>
    </row>
    <row r="271" spans="1:13" x14ac:dyDescent="0.25">
      <c r="B271" s="385"/>
      <c r="C271" s="384"/>
      <c r="G271" s="385"/>
      <c r="H271" s="386"/>
      <c r="I271" s="385"/>
      <c r="J271" s="385"/>
      <c r="K271" s="385"/>
      <c r="L271" s="385"/>
      <c r="M271" s="385"/>
    </row>
    <row r="272" spans="1:13" x14ac:dyDescent="0.25">
      <c r="B272" s="385"/>
      <c r="C272" s="384"/>
      <c r="G272" s="385"/>
      <c r="H272" s="386"/>
      <c r="I272" s="385"/>
      <c r="J272" s="385"/>
      <c r="K272" s="385"/>
      <c r="L272" s="385"/>
      <c r="M272" s="385"/>
    </row>
    <row r="273" spans="2:13" x14ac:dyDescent="0.25">
      <c r="C273" s="384"/>
      <c r="G273" s="385"/>
      <c r="H273" s="386"/>
      <c r="I273" s="385"/>
      <c r="J273" s="385"/>
      <c r="K273" s="385"/>
      <c r="L273" s="385"/>
      <c r="M273" s="385"/>
    </row>
    <row r="274" spans="2:13" x14ac:dyDescent="0.25">
      <c r="B274" s="385"/>
      <c r="C274" s="384"/>
      <c r="G274" s="385"/>
      <c r="H274" s="386"/>
      <c r="I274" s="385"/>
      <c r="J274" s="385"/>
      <c r="K274" s="385"/>
      <c r="L274" s="385"/>
      <c r="M274" s="385"/>
    </row>
    <row r="275" spans="2:13" x14ac:dyDescent="0.25">
      <c r="B275" s="385"/>
      <c r="C275" s="384"/>
      <c r="G275" s="385"/>
      <c r="H275" s="386"/>
      <c r="I275" s="385"/>
      <c r="J275" s="385"/>
      <c r="K275" s="385"/>
      <c r="L275" s="385"/>
      <c r="M275" s="385"/>
    </row>
    <row r="276" spans="2:13" x14ac:dyDescent="0.25">
      <c r="B276" s="385"/>
      <c r="C276" s="384"/>
      <c r="G276" s="385"/>
      <c r="H276" s="386"/>
      <c r="I276" s="385"/>
      <c r="J276" s="385"/>
      <c r="K276" s="385"/>
      <c r="L276" s="385"/>
      <c r="M276" s="385"/>
    </row>
    <row r="277" spans="2:13" x14ac:dyDescent="0.25">
      <c r="B277" s="570"/>
      <c r="C277" s="384"/>
      <c r="G277" s="385"/>
      <c r="H277" s="386"/>
      <c r="I277" s="385"/>
      <c r="J277" s="385"/>
      <c r="K277" s="385"/>
      <c r="L277" s="385"/>
      <c r="M277" s="385"/>
    </row>
    <row r="278" spans="2:13" x14ac:dyDescent="0.25">
      <c r="B278" s="385"/>
      <c r="C278" s="384"/>
      <c r="G278" s="385"/>
      <c r="H278" s="386"/>
      <c r="I278" s="385"/>
      <c r="J278" s="385"/>
      <c r="K278" s="385"/>
      <c r="L278" s="385"/>
      <c r="M278" s="385"/>
    </row>
    <row r="279" spans="2:13" x14ac:dyDescent="0.25">
      <c r="B279" s="385"/>
      <c r="C279" s="384"/>
      <c r="G279" s="385"/>
      <c r="H279" s="386"/>
      <c r="I279" s="385"/>
      <c r="J279" s="385"/>
      <c r="K279" s="385"/>
      <c r="L279" s="385"/>
      <c r="M279" s="385"/>
    </row>
    <row r="280" spans="2:13" x14ac:dyDescent="0.25">
      <c r="B280" s="385"/>
      <c r="C280" s="384"/>
      <c r="G280" s="385"/>
      <c r="H280" s="386"/>
      <c r="I280" s="385"/>
      <c r="J280" s="385"/>
      <c r="K280" s="385"/>
      <c r="L280" s="385"/>
      <c r="M280" s="385"/>
    </row>
    <row r="281" spans="2:13" x14ac:dyDescent="0.25">
      <c r="B281" s="385"/>
      <c r="C281" s="384"/>
      <c r="G281" s="385"/>
      <c r="H281" s="386"/>
      <c r="I281" s="385"/>
      <c r="J281" s="385"/>
      <c r="K281" s="385"/>
      <c r="L281" s="385"/>
      <c r="M281" s="385"/>
    </row>
    <row r="282" spans="2:13" x14ac:dyDescent="0.25">
      <c r="B282" s="385"/>
      <c r="C282" s="384"/>
      <c r="G282" s="385"/>
      <c r="H282" s="386"/>
      <c r="I282" s="385"/>
      <c r="J282" s="385"/>
      <c r="K282" s="385"/>
      <c r="L282" s="385"/>
      <c r="M282" s="385"/>
    </row>
    <row r="283" spans="2:13" x14ac:dyDescent="0.25">
      <c r="B283" s="385"/>
      <c r="C283" s="384"/>
      <c r="G283" s="385"/>
      <c r="H283" s="386"/>
      <c r="I283" s="385"/>
      <c r="J283" s="385"/>
      <c r="K283" s="385"/>
      <c r="L283" s="385"/>
      <c r="M283" s="385"/>
    </row>
    <row r="284" spans="2:13" x14ac:dyDescent="0.25">
      <c r="B284" s="385"/>
      <c r="C284" s="384"/>
      <c r="G284" s="385"/>
      <c r="H284" s="386"/>
      <c r="I284" s="385"/>
      <c r="J284" s="385"/>
      <c r="K284" s="385"/>
      <c r="L284" s="385"/>
      <c r="M284" s="385"/>
    </row>
    <row r="285" spans="2:13" x14ac:dyDescent="0.25">
      <c r="B285" s="385"/>
      <c r="C285" s="384"/>
      <c r="G285" s="385"/>
      <c r="H285" s="386"/>
      <c r="I285" s="385"/>
      <c r="J285" s="385"/>
      <c r="K285" s="385"/>
      <c r="L285" s="385"/>
      <c r="M285" s="385"/>
    </row>
    <row r="286" spans="2:13" x14ac:dyDescent="0.25">
      <c r="B286" s="379"/>
      <c r="C286" s="384"/>
      <c r="G286" s="385"/>
      <c r="H286" s="386"/>
      <c r="I286" s="385"/>
      <c r="J286" s="385"/>
      <c r="K286" s="385"/>
      <c r="L286" s="385"/>
      <c r="M286" s="385"/>
    </row>
    <row r="287" spans="2:13" x14ac:dyDescent="0.25">
      <c r="C287" s="384"/>
      <c r="G287" s="385"/>
      <c r="H287" s="386"/>
      <c r="I287" s="385"/>
      <c r="J287" s="385"/>
      <c r="K287" s="385"/>
      <c r="L287" s="385"/>
      <c r="M287" s="385"/>
    </row>
    <row r="288" spans="2:13" x14ac:dyDescent="0.25">
      <c r="B288" s="379"/>
      <c r="C288" s="384"/>
      <c r="G288" s="385"/>
      <c r="H288" s="386"/>
      <c r="I288" s="385"/>
      <c r="J288" s="385"/>
      <c r="K288" s="385"/>
      <c r="L288" s="385"/>
      <c r="M288" s="385"/>
    </row>
    <row r="289" spans="2:14" x14ac:dyDescent="0.25">
      <c r="C289" s="384"/>
      <c r="G289" s="385"/>
      <c r="H289" s="386"/>
      <c r="I289" s="385"/>
      <c r="J289" s="385"/>
      <c r="K289" s="385"/>
      <c r="L289" s="385"/>
      <c r="M289" s="385"/>
    </row>
    <row r="290" spans="2:14" x14ac:dyDescent="0.25">
      <c r="B290" s="385"/>
      <c r="C290" s="384"/>
      <c r="G290" s="385"/>
      <c r="H290" s="386"/>
      <c r="I290" s="385"/>
      <c r="J290" s="385"/>
      <c r="K290" s="385"/>
      <c r="L290" s="385"/>
      <c r="M290" s="385"/>
    </row>
    <row r="291" spans="2:14" x14ac:dyDescent="0.25">
      <c r="B291" s="385"/>
      <c r="C291" s="384"/>
      <c r="G291" s="385"/>
      <c r="H291" s="386"/>
      <c r="I291" s="385"/>
      <c r="J291" s="385"/>
      <c r="K291" s="385"/>
      <c r="L291" s="385"/>
      <c r="M291" s="385"/>
    </row>
    <row r="292" spans="2:14" x14ac:dyDescent="0.25">
      <c r="B292" s="385"/>
      <c r="C292" s="384"/>
      <c r="G292" s="385"/>
      <c r="H292" s="386"/>
      <c r="I292" s="385"/>
      <c r="J292" s="385"/>
      <c r="K292" s="385"/>
      <c r="L292" s="385"/>
      <c r="M292" s="385"/>
    </row>
    <row r="293" spans="2:14" x14ac:dyDescent="0.25">
      <c r="B293" s="379"/>
      <c r="C293" s="384"/>
      <c r="G293" s="385"/>
      <c r="H293" s="386"/>
      <c r="I293" s="385"/>
      <c r="J293" s="385"/>
      <c r="K293" s="385"/>
      <c r="L293" s="385"/>
      <c r="M293" s="385"/>
    </row>
    <row r="294" spans="2:14" x14ac:dyDescent="0.25">
      <c r="C294" s="384"/>
      <c r="G294" s="385"/>
      <c r="H294" s="386"/>
      <c r="I294" s="385"/>
      <c r="J294" s="385"/>
      <c r="K294" s="385"/>
      <c r="L294" s="385"/>
      <c r="M294" s="385"/>
    </row>
    <row r="295" spans="2:14" x14ac:dyDescent="0.25">
      <c r="B295" s="385"/>
      <c r="C295" s="384"/>
      <c r="G295" s="385"/>
      <c r="H295" s="386"/>
      <c r="I295" s="385"/>
      <c r="J295" s="385"/>
      <c r="K295" s="385"/>
      <c r="L295" s="385"/>
      <c r="M295" s="385"/>
    </row>
    <row r="296" spans="2:14" x14ac:dyDescent="0.25">
      <c r="B296" s="385"/>
      <c r="C296" s="384"/>
      <c r="G296" s="385"/>
      <c r="H296" s="386"/>
      <c r="I296" s="385"/>
      <c r="J296" s="385"/>
      <c r="K296" s="385"/>
      <c r="L296" s="385"/>
      <c r="M296" s="385"/>
    </row>
    <row r="297" spans="2:14" x14ac:dyDescent="0.25">
      <c r="B297" s="379"/>
      <c r="C297" s="384"/>
      <c r="G297" s="385"/>
      <c r="H297" s="386"/>
      <c r="I297" s="385"/>
      <c r="J297" s="385"/>
      <c r="K297" s="385"/>
      <c r="L297" s="385"/>
      <c r="M297" s="385"/>
    </row>
    <row r="298" spans="2:14" x14ac:dyDescent="0.25">
      <c r="C298" s="384"/>
      <c r="G298" s="385"/>
      <c r="H298" s="386"/>
      <c r="I298" s="385"/>
      <c r="J298" s="385"/>
      <c r="K298" s="385"/>
      <c r="L298" s="385"/>
      <c r="M298" s="385"/>
    </row>
    <row r="299" spans="2:14" x14ac:dyDescent="0.25">
      <c r="B299" s="570"/>
      <c r="C299" s="390"/>
      <c r="G299" s="385"/>
      <c r="H299" s="386"/>
      <c r="I299" s="385"/>
      <c r="J299" s="385"/>
      <c r="K299" s="385"/>
      <c r="L299" s="385"/>
      <c r="M299" s="385"/>
    </row>
    <row r="300" spans="2:14" x14ac:dyDescent="0.25">
      <c r="B300" s="379"/>
      <c r="C300" s="384"/>
      <c r="G300" s="385"/>
      <c r="H300" s="386"/>
      <c r="I300" s="385"/>
      <c r="J300" s="385"/>
      <c r="K300" s="385"/>
      <c r="L300" s="385"/>
      <c r="M300" s="385"/>
    </row>
    <row r="301" spans="2:14" x14ac:dyDescent="0.25">
      <c r="B301" s="379"/>
      <c r="C301" s="384"/>
      <c r="G301" s="385"/>
      <c r="H301" s="386"/>
      <c r="I301" s="385"/>
      <c r="J301" s="385"/>
      <c r="K301" s="385"/>
      <c r="L301" s="385"/>
      <c r="M301" s="385"/>
    </row>
    <row r="302" spans="2:14" x14ac:dyDescent="0.25">
      <c r="C302" s="390"/>
      <c r="G302" s="385"/>
      <c r="H302" s="386"/>
      <c r="I302" s="385"/>
      <c r="J302" s="385"/>
      <c r="K302" s="385"/>
      <c r="L302" s="385"/>
      <c r="M302" s="385"/>
    </row>
    <row r="303" spans="2:14" x14ac:dyDescent="0.25">
      <c r="G303" s="385"/>
      <c r="H303" s="386"/>
      <c r="I303" s="385"/>
      <c r="J303" s="385"/>
      <c r="K303" s="385"/>
      <c r="L303" s="385"/>
      <c r="M303" s="385"/>
    </row>
    <row r="304" spans="2:14" x14ac:dyDescent="0.25">
      <c r="K304" s="391"/>
      <c r="L304" s="391"/>
      <c r="M304" s="391"/>
      <c r="N304" s="392"/>
    </row>
    <row r="305" spans="11:14" x14ac:dyDescent="0.25">
      <c r="K305" s="391"/>
      <c r="L305" s="391"/>
      <c r="M305" s="391"/>
      <c r="N305" s="392"/>
    </row>
    <row r="306" spans="11:14" x14ac:dyDescent="0.25">
      <c r="K306" s="391"/>
      <c r="L306" s="391"/>
      <c r="M306" s="391"/>
      <c r="N306" s="392"/>
    </row>
    <row r="307" spans="11:14" x14ac:dyDescent="0.25">
      <c r="K307" s="391"/>
      <c r="L307" s="391"/>
      <c r="M307" s="391"/>
      <c r="N307" s="392"/>
    </row>
    <row r="308" spans="11:14" x14ac:dyDescent="0.25">
      <c r="K308" s="391"/>
      <c r="L308" s="391"/>
      <c r="M308" s="391"/>
      <c r="N308" s="392"/>
    </row>
    <row r="309" spans="11:14" x14ac:dyDescent="0.25">
      <c r="K309" s="391"/>
      <c r="L309" s="391"/>
      <c r="M309" s="391"/>
    </row>
  </sheetData>
  <autoFilter ref="A9:H31"/>
  <mergeCells count="12">
    <mergeCell ref="A31:D31"/>
    <mergeCell ref="G31:H31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72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C000"/>
    <pageSetUpPr fitToPage="1"/>
  </sheetPr>
  <dimension ref="B1:K37"/>
  <sheetViews>
    <sheetView view="pageBreakPreview" zoomScale="80" zoomScaleNormal="100" zoomScaleSheetLayoutView="80" workbookViewId="0">
      <selection activeCell="J12" sqref="J12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13.9" x14ac:dyDescent="0.3">
      <c r="B2" s="396" t="str">
        <f>'05-DO'!B2</f>
        <v>PROIECT : Extindere infrastructură educațională – Centrul Școlar pentru Educație înclusivă „Constantin Pufan”</v>
      </c>
      <c r="C2" s="411"/>
      <c r="D2" s="36"/>
      <c r="E2" s="36"/>
      <c r="F2" s="36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DG!C65</f>
        <v>OBIECT 6 - Realizare Sala de sport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84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10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10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10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10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10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10" x14ac:dyDescent="0.25">
      <c r="B22" s="37" t="s">
        <v>1289</v>
      </c>
      <c r="C22" s="38" t="s">
        <v>352</v>
      </c>
      <c r="D22" s="429" t="e">
        <f>#REF!</f>
        <v>#REF!</v>
      </c>
      <c r="E22" s="430" t="e">
        <f t="shared" si="2"/>
        <v>#REF!</v>
      </c>
      <c r="F22" s="834" t="e">
        <f t="shared" si="3"/>
        <v>#REF!</v>
      </c>
      <c r="G22" s="32"/>
      <c r="H22" s="28"/>
      <c r="I22" s="28"/>
    </row>
    <row r="23" spans="2:10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10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10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10" ht="27.6" x14ac:dyDescent="0.3">
      <c r="B26" s="37">
        <v>4.3</v>
      </c>
      <c r="C26" s="38" t="s">
        <v>1281</v>
      </c>
      <c r="D26" s="429">
        <f>'06-LU'!F21</f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10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10" x14ac:dyDescent="0.25">
      <c r="B28" s="37">
        <v>4.5</v>
      </c>
      <c r="C28" s="38" t="s">
        <v>46</v>
      </c>
      <c r="D28" s="429">
        <f>'06-LD'!F63</f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10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10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10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  <c r="J31" s="40" t="e">
        <f>D31/350</f>
        <v>#REF!</v>
      </c>
    </row>
    <row r="32" spans="2:10" ht="13.9" x14ac:dyDescent="0.3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/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8">
    <mergeCell ref="B30:C30"/>
    <mergeCell ref="B31:C31"/>
    <mergeCell ref="B4:F5"/>
    <mergeCell ref="B8:B9"/>
    <mergeCell ref="C8:C9"/>
    <mergeCell ref="B11:F11"/>
    <mergeCell ref="B23:C23"/>
    <mergeCell ref="B25:C25"/>
  </mergeCells>
  <pageMargins left="0.7" right="0.7" top="0.75" bottom="0.75" header="0.3" footer="0.3"/>
  <pageSetup paperSize="9" scale="8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FF00"/>
    <pageSetUpPr fitToPage="1"/>
  </sheetPr>
  <dimension ref="A1:N341"/>
  <sheetViews>
    <sheetView view="pageBreakPreview" zoomScale="80" zoomScaleNormal="70" zoomScaleSheetLayoutView="80" workbookViewId="0">
      <selection activeCell="N85" sqref="N85"/>
    </sheetView>
  </sheetViews>
  <sheetFormatPr defaultColWidth="10.7109375" defaultRowHeight="12.75" x14ac:dyDescent="0.25"/>
  <cols>
    <col min="1" max="1" width="10.7109375" style="360" customWidth="1"/>
    <col min="2" max="2" width="25.7109375" style="360" customWidth="1"/>
    <col min="3" max="3" width="8.42578125" style="374" customWidth="1"/>
    <col min="4" max="4" width="15.7109375" style="785" hidden="1" customWidth="1"/>
    <col min="5" max="6" width="12.7109375" style="375" customWidth="1"/>
    <col min="7" max="7" width="31.85546875" style="360" hidden="1" customWidth="1"/>
    <col min="8" max="8" width="50.7109375" style="373" customWidth="1"/>
    <col min="9" max="253" width="10.7109375" style="360"/>
    <col min="254" max="254" width="13.140625" style="360" customWidth="1"/>
    <col min="255" max="255" width="38" style="360" customWidth="1"/>
    <col min="256" max="256" width="8.42578125" style="360" customWidth="1"/>
    <col min="257" max="257" width="15.7109375" style="360" customWidth="1"/>
    <col min="258" max="258" width="18.28515625" style="360" customWidth="1"/>
    <col min="259" max="259" width="17.85546875" style="360" customWidth="1"/>
    <col min="260" max="260" width="0" style="360" hidden="1" customWidth="1"/>
    <col min="261" max="261" width="33.28515625" style="360" customWidth="1"/>
    <col min="262" max="509" width="10.7109375" style="360"/>
    <col min="510" max="510" width="13.140625" style="360" customWidth="1"/>
    <col min="511" max="511" width="38" style="360" customWidth="1"/>
    <col min="512" max="512" width="8.42578125" style="360" customWidth="1"/>
    <col min="513" max="513" width="15.7109375" style="360" customWidth="1"/>
    <col min="514" max="514" width="18.28515625" style="360" customWidth="1"/>
    <col min="515" max="515" width="17.85546875" style="360" customWidth="1"/>
    <col min="516" max="516" width="0" style="360" hidden="1" customWidth="1"/>
    <col min="517" max="517" width="33.28515625" style="360" customWidth="1"/>
    <col min="518" max="765" width="10.7109375" style="360"/>
    <col min="766" max="766" width="13.140625" style="360" customWidth="1"/>
    <col min="767" max="767" width="38" style="360" customWidth="1"/>
    <col min="768" max="768" width="8.42578125" style="360" customWidth="1"/>
    <col min="769" max="769" width="15.7109375" style="360" customWidth="1"/>
    <col min="770" max="770" width="18.28515625" style="360" customWidth="1"/>
    <col min="771" max="771" width="17.85546875" style="360" customWidth="1"/>
    <col min="772" max="772" width="0" style="360" hidden="1" customWidth="1"/>
    <col min="773" max="773" width="33.28515625" style="360" customWidth="1"/>
    <col min="774" max="1021" width="10.7109375" style="360"/>
    <col min="1022" max="1022" width="13.140625" style="360" customWidth="1"/>
    <col min="1023" max="1023" width="38" style="360" customWidth="1"/>
    <col min="1024" max="1024" width="8.42578125" style="360" customWidth="1"/>
    <col min="1025" max="1025" width="15.7109375" style="360" customWidth="1"/>
    <col min="1026" max="1026" width="18.28515625" style="360" customWidth="1"/>
    <col min="1027" max="1027" width="17.85546875" style="360" customWidth="1"/>
    <col min="1028" max="1028" width="0" style="360" hidden="1" customWidth="1"/>
    <col min="1029" max="1029" width="33.28515625" style="360" customWidth="1"/>
    <col min="1030" max="1277" width="10.7109375" style="360"/>
    <col min="1278" max="1278" width="13.140625" style="360" customWidth="1"/>
    <col min="1279" max="1279" width="38" style="360" customWidth="1"/>
    <col min="1280" max="1280" width="8.42578125" style="360" customWidth="1"/>
    <col min="1281" max="1281" width="15.7109375" style="360" customWidth="1"/>
    <col min="1282" max="1282" width="18.28515625" style="360" customWidth="1"/>
    <col min="1283" max="1283" width="17.85546875" style="360" customWidth="1"/>
    <col min="1284" max="1284" width="0" style="360" hidden="1" customWidth="1"/>
    <col min="1285" max="1285" width="33.28515625" style="360" customWidth="1"/>
    <col min="1286" max="1533" width="10.7109375" style="360"/>
    <col min="1534" max="1534" width="13.140625" style="360" customWidth="1"/>
    <col min="1535" max="1535" width="38" style="360" customWidth="1"/>
    <col min="1536" max="1536" width="8.42578125" style="360" customWidth="1"/>
    <col min="1537" max="1537" width="15.7109375" style="360" customWidth="1"/>
    <col min="1538" max="1538" width="18.28515625" style="360" customWidth="1"/>
    <col min="1539" max="1539" width="17.85546875" style="360" customWidth="1"/>
    <col min="1540" max="1540" width="0" style="360" hidden="1" customWidth="1"/>
    <col min="1541" max="1541" width="33.28515625" style="360" customWidth="1"/>
    <col min="1542" max="1789" width="10.7109375" style="360"/>
    <col min="1790" max="1790" width="13.140625" style="360" customWidth="1"/>
    <col min="1791" max="1791" width="38" style="360" customWidth="1"/>
    <col min="1792" max="1792" width="8.42578125" style="360" customWidth="1"/>
    <col min="1793" max="1793" width="15.7109375" style="360" customWidth="1"/>
    <col min="1794" max="1794" width="18.28515625" style="360" customWidth="1"/>
    <col min="1795" max="1795" width="17.85546875" style="360" customWidth="1"/>
    <col min="1796" max="1796" width="0" style="360" hidden="1" customWidth="1"/>
    <col min="1797" max="1797" width="33.28515625" style="360" customWidth="1"/>
    <col min="1798" max="2045" width="10.7109375" style="360"/>
    <col min="2046" max="2046" width="13.140625" style="360" customWidth="1"/>
    <col min="2047" max="2047" width="38" style="360" customWidth="1"/>
    <col min="2048" max="2048" width="8.42578125" style="360" customWidth="1"/>
    <col min="2049" max="2049" width="15.7109375" style="360" customWidth="1"/>
    <col min="2050" max="2050" width="18.28515625" style="360" customWidth="1"/>
    <col min="2051" max="2051" width="17.85546875" style="360" customWidth="1"/>
    <col min="2052" max="2052" width="0" style="360" hidden="1" customWidth="1"/>
    <col min="2053" max="2053" width="33.28515625" style="360" customWidth="1"/>
    <col min="2054" max="2301" width="10.7109375" style="360"/>
    <col min="2302" max="2302" width="13.140625" style="360" customWidth="1"/>
    <col min="2303" max="2303" width="38" style="360" customWidth="1"/>
    <col min="2304" max="2304" width="8.42578125" style="360" customWidth="1"/>
    <col min="2305" max="2305" width="15.7109375" style="360" customWidth="1"/>
    <col min="2306" max="2306" width="18.28515625" style="360" customWidth="1"/>
    <col min="2307" max="2307" width="17.85546875" style="360" customWidth="1"/>
    <col min="2308" max="2308" width="0" style="360" hidden="1" customWidth="1"/>
    <col min="2309" max="2309" width="33.28515625" style="360" customWidth="1"/>
    <col min="2310" max="2557" width="10.7109375" style="360"/>
    <col min="2558" max="2558" width="13.140625" style="360" customWidth="1"/>
    <col min="2559" max="2559" width="38" style="360" customWidth="1"/>
    <col min="2560" max="2560" width="8.42578125" style="360" customWidth="1"/>
    <col min="2561" max="2561" width="15.7109375" style="360" customWidth="1"/>
    <col min="2562" max="2562" width="18.28515625" style="360" customWidth="1"/>
    <col min="2563" max="2563" width="17.85546875" style="360" customWidth="1"/>
    <col min="2564" max="2564" width="0" style="360" hidden="1" customWidth="1"/>
    <col min="2565" max="2565" width="33.28515625" style="360" customWidth="1"/>
    <col min="2566" max="2813" width="10.7109375" style="360"/>
    <col min="2814" max="2814" width="13.140625" style="360" customWidth="1"/>
    <col min="2815" max="2815" width="38" style="360" customWidth="1"/>
    <col min="2816" max="2816" width="8.42578125" style="360" customWidth="1"/>
    <col min="2817" max="2817" width="15.7109375" style="360" customWidth="1"/>
    <col min="2818" max="2818" width="18.28515625" style="360" customWidth="1"/>
    <col min="2819" max="2819" width="17.85546875" style="360" customWidth="1"/>
    <col min="2820" max="2820" width="0" style="360" hidden="1" customWidth="1"/>
    <col min="2821" max="2821" width="33.28515625" style="360" customWidth="1"/>
    <col min="2822" max="3069" width="10.7109375" style="360"/>
    <col min="3070" max="3070" width="13.140625" style="360" customWidth="1"/>
    <col min="3071" max="3071" width="38" style="360" customWidth="1"/>
    <col min="3072" max="3072" width="8.42578125" style="360" customWidth="1"/>
    <col min="3073" max="3073" width="15.7109375" style="360" customWidth="1"/>
    <col min="3074" max="3074" width="18.28515625" style="360" customWidth="1"/>
    <col min="3075" max="3075" width="17.85546875" style="360" customWidth="1"/>
    <col min="3076" max="3076" width="0" style="360" hidden="1" customWidth="1"/>
    <col min="3077" max="3077" width="33.28515625" style="360" customWidth="1"/>
    <col min="3078" max="3325" width="10.7109375" style="360"/>
    <col min="3326" max="3326" width="13.140625" style="360" customWidth="1"/>
    <col min="3327" max="3327" width="38" style="360" customWidth="1"/>
    <col min="3328" max="3328" width="8.42578125" style="360" customWidth="1"/>
    <col min="3329" max="3329" width="15.7109375" style="360" customWidth="1"/>
    <col min="3330" max="3330" width="18.28515625" style="360" customWidth="1"/>
    <col min="3331" max="3331" width="17.85546875" style="360" customWidth="1"/>
    <col min="3332" max="3332" width="0" style="360" hidden="1" customWidth="1"/>
    <col min="3333" max="3333" width="33.28515625" style="360" customWidth="1"/>
    <col min="3334" max="3581" width="10.7109375" style="360"/>
    <col min="3582" max="3582" width="13.140625" style="360" customWidth="1"/>
    <col min="3583" max="3583" width="38" style="360" customWidth="1"/>
    <col min="3584" max="3584" width="8.42578125" style="360" customWidth="1"/>
    <col min="3585" max="3585" width="15.7109375" style="360" customWidth="1"/>
    <col min="3586" max="3586" width="18.28515625" style="360" customWidth="1"/>
    <col min="3587" max="3587" width="17.85546875" style="360" customWidth="1"/>
    <col min="3588" max="3588" width="0" style="360" hidden="1" customWidth="1"/>
    <col min="3589" max="3589" width="33.28515625" style="360" customWidth="1"/>
    <col min="3590" max="3837" width="10.7109375" style="360"/>
    <col min="3838" max="3838" width="13.140625" style="360" customWidth="1"/>
    <col min="3839" max="3839" width="38" style="360" customWidth="1"/>
    <col min="3840" max="3840" width="8.42578125" style="360" customWidth="1"/>
    <col min="3841" max="3841" width="15.7109375" style="360" customWidth="1"/>
    <col min="3842" max="3842" width="18.28515625" style="360" customWidth="1"/>
    <col min="3843" max="3843" width="17.85546875" style="360" customWidth="1"/>
    <col min="3844" max="3844" width="0" style="360" hidden="1" customWidth="1"/>
    <col min="3845" max="3845" width="33.28515625" style="360" customWidth="1"/>
    <col min="3846" max="4093" width="10.7109375" style="360"/>
    <col min="4094" max="4094" width="13.140625" style="360" customWidth="1"/>
    <col min="4095" max="4095" width="38" style="360" customWidth="1"/>
    <col min="4096" max="4096" width="8.42578125" style="360" customWidth="1"/>
    <col min="4097" max="4097" width="15.7109375" style="360" customWidth="1"/>
    <col min="4098" max="4098" width="18.28515625" style="360" customWidth="1"/>
    <col min="4099" max="4099" width="17.85546875" style="360" customWidth="1"/>
    <col min="4100" max="4100" width="0" style="360" hidden="1" customWidth="1"/>
    <col min="4101" max="4101" width="33.28515625" style="360" customWidth="1"/>
    <col min="4102" max="4349" width="10.7109375" style="360"/>
    <col min="4350" max="4350" width="13.140625" style="360" customWidth="1"/>
    <col min="4351" max="4351" width="38" style="360" customWidth="1"/>
    <col min="4352" max="4352" width="8.42578125" style="360" customWidth="1"/>
    <col min="4353" max="4353" width="15.7109375" style="360" customWidth="1"/>
    <col min="4354" max="4354" width="18.28515625" style="360" customWidth="1"/>
    <col min="4355" max="4355" width="17.85546875" style="360" customWidth="1"/>
    <col min="4356" max="4356" width="0" style="360" hidden="1" customWidth="1"/>
    <col min="4357" max="4357" width="33.28515625" style="360" customWidth="1"/>
    <col min="4358" max="4605" width="10.7109375" style="360"/>
    <col min="4606" max="4606" width="13.140625" style="360" customWidth="1"/>
    <col min="4607" max="4607" width="38" style="360" customWidth="1"/>
    <col min="4608" max="4608" width="8.42578125" style="360" customWidth="1"/>
    <col min="4609" max="4609" width="15.7109375" style="360" customWidth="1"/>
    <col min="4610" max="4610" width="18.28515625" style="360" customWidth="1"/>
    <col min="4611" max="4611" width="17.85546875" style="360" customWidth="1"/>
    <col min="4612" max="4612" width="0" style="360" hidden="1" customWidth="1"/>
    <col min="4613" max="4613" width="33.28515625" style="360" customWidth="1"/>
    <col min="4614" max="4861" width="10.7109375" style="360"/>
    <col min="4862" max="4862" width="13.140625" style="360" customWidth="1"/>
    <col min="4863" max="4863" width="38" style="360" customWidth="1"/>
    <col min="4864" max="4864" width="8.42578125" style="360" customWidth="1"/>
    <col min="4865" max="4865" width="15.7109375" style="360" customWidth="1"/>
    <col min="4866" max="4866" width="18.28515625" style="360" customWidth="1"/>
    <col min="4867" max="4867" width="17.85546875" style="360" customWidth="1"/>
    <col min="4868" max="4868" width="0" style="360" hidden="1" customWidth="1"/>
    <col min="4869" max="4869" width="33.28515625" style="360" customWidth="1"/>
    <col min="4870" max="5117" width="10.7109375" style="360"/>
    <col min="5118" max="5118" width="13.140625" style="360" customWidth="1"/>
    <col min="5119" max="5119" width="38" style="360" customWidth="1"/>
    <col min="5120" max="5120" width="8.42578125" style="360" customWidth="1"/>
    <col min="5121" max="5121" width="15.7109375" style="360" customWidth="1"/>
    <col min="5122" max="5122" width="18.28515625" style="360" customWidth="1"/>
    <col min="5123" max="5123" width="17.85546875" style="360" customWidth="1"/>
    <col min="5124" max="5124" width="0" style="360" hidden="1" customWidth="1"/>
    <col min="5125" max="5125" width="33.28515625" style="360" customWidth="1"/>
    <col min="5126" max="5373" width="10.7109375" style="360"/>
    <col min="5374" max="5374" width="13.140625" style="360" customWidth="1"/>
    <col min="5375" max="5375" width="38" style="360" customWidth="1"/>
    <col min="5376" max="5376" width="8.42578125" style="360" customWidth="1"/>
    <col min="5377" max="5377" width="15.7109375" style="360" customWidth="1"/>
    <col min="5378" max="5378" width="18.28515625" style="360" customWidth="1"/>
    <col min="5379" max="5379" width="17.85546875" style="360" customWidth="1"/>
    <col min="5380" max="5380" width="0" style="360" hidden="1" customWidth="1"/>
    <col min="5381" max="5381" width="33.28515625" style="360" customWidth="1"/>
    <col min="5382" max="5629" width="10.7109375" style="360"/>
    <col min="5630" max="5630" width="13.140625" style="360" customWidth="1"/>
    <col min="5631" max="5631" width="38" style="360" customWidth="1"/>
    <col min="5632" max="5632" width="8.42578125" style="360" customWidth="1"/>
    <col min="5633" max="5633" width="15.7109375" style="360" customWidth="1"/>
    <col min="5634" max="5634" width="18.28515625" style="360" customWidth="1"/>
    <col min="5635" max="5635" width="17.85546875" style="360" customWidth="1"/>
    <col min="5636" max="5636" width="0" style="360" hidden="1" customWidth="1"/>
    <col min="5637" max="5637" width="33.28515625" style="360" customWidth="1"/>
    <col min="5638" max="5885" width="10.7109375" style="360"/>
    <col min="5886" max="5886" width="13.140625" style="360" customWidth="1"/>
    <col min="5887" max="5887" width="38" style="360" customWidth="1"/>
    <col min="5888" max="5888" width="8.42578125" style="360" customWidth="1"/>
    <col min="5889" max="5889" width="15.7109375" style="360" customWidth="1"/>
    <col min="5890" max="5890" width="18.28515625" style="360" customWidth="1"/>
    <col min="5891" max="5891" width="17.85546875" style="360" customWidth="1"/>
    <col min="5892" max="5892" width="0" style="360" hidden="1" customWidth="1"/>
    <col min="5893" max="5893" width="33.28515625" style="360" customWidth="1"/>
    <col min="5894" max="6141" width="10.7109375" style="360"/>
    <col min="6142" max="6142" width="13.140625" style="360" customWidth="1"/>
    <col min="6143" max="6143" width="38" style="360" customWidth="1"/>
    <col min="6144" max="6144" width="8.42578125" style="360" customWidth="1"/>
    <col min="6145" max="6145" width="15.7109375" style="360" customWidth="1"/>
    <col min="6146" max="6146" width="18.28515625" style="360" customWidth="1"/>
    <col min="6147" max="6147" width="17.85546875" style="360" customWidth="1"/>
    <col min="6148" max="6148" width="0" style="360" hidden="1" customWidth="1"/>
    <col min="6149" max="6149" width="33.28515625" style="360" customWidth="1"/>
    <col min="6150" max="6397" width="10.7109375" style="360"/>
    <col min="6398" max="6398" width="13.140625" style="360" customWidth="1"/>
    <col min="6399" max="6399" width="38" style="360" customWidth="1"/>
    <col min="6400" max="6400" width="8.42578125" style="360" customWidth="1"/>
    <col min="6401" max="6401" width="15.7109375" style="360" customWidth="1"/>
    <col min="6402" max="6402" width="18.28515625" style="360" customWidth="1"/>
    <col min="6403" max="6403" width="17.85546875" style="360" customWidth="1"/>
    <col min="6404" max="6404" width="0" style="360" hidden="1" customWidth="1"/>
    <col min="6405" max="6405" width="33.28515625" style="360" customWidth="1"/>
    <col min="6406" max="6653" width="10.7109375" style="360"/>
    <col min="6654" max="6654" width="13.140625" style="360" customWidth="1"/>
    <col min="6655" max="6655" width="38" style="360" customWidth="1"/>
    <col min="6656" max="6656" width="8.42578125" style="360" customWidth="1"/>
    <col min="6657" max="6657" width="15.7109375" style="360" customWidth="1"/>
    <col min="6658" max="6658" width="18.28515625" style="360" customWidth="1"/>
    <col min="6659" max="6659" width="17.85546875" style="360" customWidth="1"/>
    <col min="6660" max="6660" width="0" style="360" hidden="1" customWidth="1"/>
    <col min="6661" max="6661" width="33.28515625" style="360" customWidth="1"/>
    <col min="6662" max="6909" width="10.7109375" style="360"/>
    <col min="6910" max="6910" width="13.140625" style="360" customWidth="1"/>
    <col min="6911" max="6911" width="38" style="360" customWidth="1"/>
    <col min="6912" max="6912" width="8.42578125" style="360" customWidth="1"/>
    <col min="6913" max="6913" width="15.7109375" style="360" customWidth="1"/>
    <col min="6914" max="6914" width="18.28515625" style="360" customWidth="1"/>
    <col min="6915" max="6915" width="17.85546875" style="360" customWidth="1"/>
    <col min="6916" max="6916" width="0" style="360" hidden="1" customWidth="1"/>
    <col min="6917" max="6917" width="33.28515625" style="360" customWidth="1"/>
    <col min="6918" max="7165" width="10.7109375" style="360"/>
    <col min="7166" max="7166" width="13.140625" style="360" customWidth="1"/>
    <col min="7167" max="7167" width="38" style="360" customWidth="1"/>
    <col min="7168" max="7168" width="8.42578125" style="360" customWidth="1"/>
    <col min="7169" max="7169" width="15.7109375" style="360" customWidth="1"/>
    <col min="7170" max="7170" width="18.28515625" style="360" customWidth="1"/>
    <col min="7171" max="7171" width="17.85546875" style="360" customWidth="1"/>
    <col min="7172" max="7172" width="0" style="360" hidden="1" customWidth="1"/>
    <col min="7173" max="7173" width="33.28515625" style="360" customWidth="1"/>
    <col min="7174" max="7421" width="10.7109375" style="360"/>
    <col min="7422" max="7422" width="13.140625" style="360" customWidth="1"/>
    <col min="7423" max="7423" width="38" style="360" customWidth="1"/>
    <col min="7424" max="7424" width="8.42578125" style="360" customWidth="1"/>
    <col min="7425" max="7425" width="15.7109375" style="360" customWidth="1"/>
    <col min="7426" max="7426" width="18.28515625" style="360" customWidth="1"/>
    <col min="7427" max="7427" width="17.85546875" style="360" customWidth="1"/>
    <col min="7428" max="7428" width="0" style="360" hidden="1" customWidth="1"/>
    <col min="7429" max="7429" width="33.28515625" style="360" customWidth="1"/>
    <col min="7430" max="7677" width="10.7109375" style="360"/>
    <col min="7678" max="7678" width="13.140625" style="360" customWidth="1"/>
    <col min="7679" max="7679" width="38" style="360" customWidth="1"/>
    <col min="7680" max="7680" width="8.42578125" style="360" customWidth="1"/>
    <col min="7681" max="7681" width="15.7109375" style="360" customWidth="1"/>
    <col min="7682" max="7682" width="18.28515625" style="360" customWidth="1"/>
    <col min="7683" max="7683" width="17.85546875" style="360" customWidth="1"/>
    <col min="7684" max="7684" width="0" style="360" hidden="1" customWidth="1"/>
    <col min="7685" max="7685" width="33.28515625" style="360" customWidth="1"/>
    <col min="7686" max="7933" width="10.7109375" style="360"/>
    <col min="7934" max="7934" width="13.140625" style="360" customWidth="1"/>
    <col min="7935" max="7935" width="38" style="360" customWidth="1"/>
    <col min="7936" max="7936" width="8.42578125" style="360" customWidth="1"/>
    <col min="7937" max="7937" width="15.7109375" style="360" customWidth="1"/>
    <col min="7938" max="7938" width="18.28515625" style="360" customWidth="1"/>
    <col min="7939" max="7939" width="17.85546875" style="360" customWidth="1"/>
    <col min="7940" max="7940" width="0" style="360" hidden="1" customWidth="1"/>
    <col min="7941" max="7941" width="33.28515625" style="360" customWidth="1"/>
    <col min="7942" max="8189" width="10.7109375" style="360"/>
    <col min="8190" max="8190" width="13.140625" style="360" customWidth="1"/>
    <col min="8191" max="8191" width="38" style="360" customWidth="1"/>
    <col min="8192" max="8192" width="8.42578125" style="360" customWidth="1"/>
    <col min="8193" max="8193" width="15.7109375" style="360" customWidth="1"/>
    <col min="8194" max="8194" width="18.28515625" style="360" customWidth="1"/>
    <col min="8195" max="8195" width="17.85546875" style="360" customWidth="1"/>
    <col min="8196" max="8196" width="0" style="360" hidden="1" customWidth="1"/>
    <col min="8197" max="8197" width="33.28515625" style="360" customWidth="1"/>
    <col min="8198" max="8445" width="10.7109375" style="360"/>
    <col min="8446" max="8446" width="13.140625" style="360" customWidth="1"/>
    <col min="8447" max="8447" width="38" style="360" customWidth="1"/>
    <col min="8448" max="8448" width="8.42578125" style="360" customWidth="1"/>
    <col min="8449" max="8449" width="15.7109375" style="360" customWidth="1"/>
    <col min="8450" max="8450" width="18.28515625" style="360" customWidth="1"/>
    <col min="8451" max="8451" width="17.85546875" style="360" customWidth="1"/>
    <col min="8452" max="8452" width="0" style="360" hidden="1" customWidth="1"/>
    <col min="8453" max="8453" width="33.28515625" style="360" customWidth="1"/>
    <col min="8454" max="8701" width="10.7109375" style="360"/>
    <col min="8702" max="8702" width="13.140625" style="360" customWidth="1"/>
    <col min="8703" max="8703" width="38" style="360" customWidth="1"/>
    <col min="8704" max="8704" width="8.42578125" style="360" customWidth="1"/>
    <col min="8705" max="8705" width="15.7109375" style="360" customWidth="1"/>
    <col min="8706" max="8706" width="18.28515625" style="360" customWidth="1"/>
    <col min="8707" max="8707" width="17.85546875" style="360" customWidth="1"/>
    <col min="8708" max="8708" width="0" style="360" hidden="1" customWidth="1"/>
    <col min="8709" max="8709" width="33.28515625" style="360" customWidth="1"/>
    <col min="8710" max="8957" width="10.7109375" style="360"/>
    <col min="8958" max="8958" width="13.140625" style="360" customWidth="1"/>
    <col min="8959" max="8959" width="38" style="360" customWidth="1"/>
    <col min="8960" max="8960" width="8.42578125" style="360" customWidth="1"/>
    <col min="8961" max="8961" width="15.7109375" style="360" customWidth="1"/>
    <col min="8962" max="8962" width="18.28515625" style="360" customWidth="1"/>
    <col min="8963" max="8963" width="17.85546875" style="360" customWidth="1"/>
    <col min="8964" max="8964" width="0" style="360" hidden="1" customWidth="1"/>
    <col min="8965" max="8965" width="33.28515625" style="360" customWidth="1"/>
    <col min="8966" max="9213" width="10.7109375" style="360"/>
    <col min="9214" max="9214" width="13.140625" style="360" customWidth="1"/>
    <col min="9215" max="9215" width="38" style="360" customWidth="1"/>
    <col min="9216" max="9216" width="8.42578125" style="360" customWidth="1"/>
    <col min="9217" max="9217" width="15.7109375" style="360" customWidth="1"/>
    <col min="9218" max="9218" width="18.28515625" style="360" customWidth="1"/>
    <col min="9219" max="9219" width="17.85546875" style="360" customWidth="1"/>
    <col min="9220" max="9220" width="0" style="360" hidden="1" customWidth="1"/>
    <col min="9221" max="9221" width="33.28515625" style="360" customWidth="1"/>
    <col min="9222" max="9469" width="10.7109375" style="360"/>
    <col min="9470" max="9470" width="13.140625" style="360" customWidth="1"/>
    <col min="9471" max="9471" width="38" style="360" customWidth="1"/>
    <col min="9472" max="9472" width="8.42578125" style="360" customWidth="1"/>
    <col min="9473" max="9473" width="15.7109375" style="360" customWidth="1"/>
    <col min="9474" max="9474" width="18.28515625" style="360" customWidth="1"/>
    <col min="9475" max="9475" width="17.85546875" style="360" customWidth="1"/>
    <col min="9476" max="9476" width="0" style="360" hidden="1" customWidth="1"/>
    <col min="9477" max="9477" width="33.28515625" style="360" customWidth="1"/>
    <col min="9478" max="9725" width="10.7109375" style="360"/>
    <col min="9726" max="9726" width="13.140625" style="360" customWidth="1"/>
    <col min="9727" max="9727" width="38" style="360" customWidth="1"/>
    <col min="9728" max="9728" width="8.42578125" style="360" customWidth="1"/>
    <col min="9729" max="9729" width="15.7109375" style="360" customWidth="1"/>
    <col min="9730" max="9730" width="18.28515625" style="360" customWidth="1"/>
    <col min="9731" max="9731" width="17.85546875" style="360" customWidth="1"/>
    <col min="9732" max="9732" width="0" style="360" hidden="1" customWidth="1"/>
    <col min="9733" max="9733" width="33.28515625" style="360" customWidth="1"/>
    <col min="9734" max="9981" width="10.7109375" style="360"/>
    <col min="9982" max="9982" width="13.140625" style="360" customWidth="1"/>
    <col min="9983" max="9983" width="38" style="360" customWidth="1"/>
    <col min="9984" max="9984" width="8.42578125" style="360" customWidth="1"/>
    <col min="9985" max="9985" width="15.7109375" style="360" customWidth="1"/>
    <col min="9986" max="9986" width="18.28515625" style="360" customWidth="1"/>
    <col min="9987" max="9987" width="17.85546875" style="360" customWidth="1"/>
    <col min="9988" max="9988" width="0" style="360" hidden="1" customWidth="1"/>
    <col min="9989" max="9989" width="33.28515625" style="360" customWidth="1"/>
    <col min="9990" max="10237" width="10.7109375" style="360"/>
    <col min="10238" max="10238" width="13.140625" style="360" customWidth="1"/>
    <col min="10239" max="10239" width="38" style="360" customWidth="1"/>
    <col min="10240" max="10240" width="8.42578125" style="360" customWidth="1"/>
    <col min="10241" max="10241" width="15.7109375" style="360" customWidth="1"/>
    <col min="10242" max="10242" width="18.28515625" style="360" customWidth="1"/>
    <col min="10243" max="10243" width="17.85546875" style="360" customWidth="1"/>
    <col min="10244" max="10244" width="0" style="360" hidden="1" customWidth="1"/>
    <col min="10245" max="10245" width="33.28515625" style="360" customWidth="1"/>
    <col min="10246" max="10493" width="10.7109375" style="360"/>
    <col min="10494" max="10494" width="13.140625" style="360" customWidth="1"/>
    <col min="10495" max="10495" width="38" style="360" customWidth="1"/>
    <col min="10496" max="10496" width="8.42578125" style="360" customWidth="1"/>
    <col min="10497" max="10497" width="15.7109375" style="360" customWidth="1"/>
    <col min="10498" max="10498" width="18.28515625" style="360" customWidth="1"/>
    <col min="10499" max="10499" width="17.85546875" style="360" customWidth="1"/>
    <col min="10500" max="10500" width="0" style="360" hidden="1" customWidth="1"/>
    <col min="10501" max="10501" width="33.28515625" style="360" customWidth="1"/>
    <col min="10502" max="10749" width="10.7109375" style="360"/>
    <col min="10750" max="10750" width="13.140625" style="360" customWidth="1"/>
    <col min="10751" max="10751" width="38" style="360" customWidth="1"/>
    <col min="10752" max="10752" width="8.42578125" style="360" customWidth="1"/>
    <col min="10753" max="10753" width="15.7109375" style="360" customWidth="1"/>
    <col min="10754" max="10754" width="18.28515625" style="360" customWidth="1"/>
    <col min="10755" max="10755" width="17.85546875" style="360" customWidth="1"/>
    <col min="10756" max="10756" width="0" style="360" hidden="1" customWidth="1"/>
    <col min="10757" max="10757" width="33.28515625" style="360" customWidth="1"/>
    <col min="10758" max="11005" width="10.7109375" style="360"/>
    <col min="11006" max="11006" width="13.140625" style="360" customWidth="1"/>
    <col min="11007" max="11007" width="38" style="360" customWidth="1"/>
    <col min="11008" max="11008" width="8.42578125" style="360" customWidth="1"/>
    <col min="11009" max="11009" width="15.7109375" style="360" customWidth="1"/>
    <col min="11010" max="11010" width="18.28515625" style="360" customWidth="1"/>
    <col min="11011" max="11011" width="17.85546875" style="360" customWidth="1"/>
    <col min="11012" max="11012" width="0" style="360" hidden="1" customWidth="1"/>
    <col min="11013" max="11013" width="33.28515625" style="360" customWidth="1"/>
    <col min="11014" max="11261" width="10.7109375" style="360"/>
    <col min="11262" max="11262" width="13.140625" style="360" customWidth="1"/>
    <col min="11263" max="11263" width="38" style="360" customWidth="1"/>
    <col min="11264" max="11264" width="8.42578125" style="360" customWidth="1"/>
    <col min="11265" max="11265" width="15.7109375" style="360" customWidth="1"/>
    <col min="11266" max="11266" width="18.28515625" style="360" customWidth="1"/>
    <col min="11267" max="11267" width="17.85546875" style="360" customWidth="1"/>
    <col min="11268" max="11268" width="0" style="360" hidden="1" customWidth="1"/>
    <col min="11269" max="11269" width="33.28515625" style="360" customWidth="1"/>
    <col min="11270" max="11517" width="10.7109375" style="360"/>
    <col min="11518" max="11518" width="13.140625" style="360" customWidth="1"/>
    <col min="11519" max="11519" width="38" style="360" customWidth="1"/>
    <col min="11520" max="11520" width="8.42578125" style="360" customWidth="1"/>
    <col min="11521" max="11521" width="15.7109375" style="360" customWidth="1"/>
    <col min="11522" max="11522" width="18.28515625" style="360" customWidth="1"/>
    <col min="11523" max="11523" width="17.85546875" style="360" customWidth="1"/>
    <col min="11524" max="11524" width="0" style="360" hidden="1" customWidth="1"/>
    <col min="11525" max="11525" width="33.28515625" style="360" customWidth="1"/>
    <col min="11526" max="11773" width="10.7109375" style="360"/>
    <col min="11774" max="11774" width="13.140625" style="360" customWidth="1"/>
    <col min="11775" max="11775" width="38" style="360" customWidth="1"/>
    <col min="11776" max="11776" width="8.42578125" style="360" customWidth="1"/>
    <col min="11777" max="11777" width="15.7109375" style="360" customWidth="1"/>
    <col min="11778" max="11778" width="18.28515625" style="360" customWidth="1"/>
    <col min="11779" max="11779" width="17.85546875" style="360" customWidth="1"/>
    <col min="11780" max="11780" width="0" style="360" hidden="1" customWidth="1"/>
    <col min="11781" max="11781" width="33.28515625" style="360" customWidth="1"/>
    <col min="11782" max="12029" width="10.7109375" style="360"/>
    <col min="12030" max="12030" width="13.140625" style="360" customWidth="1"/>
    <col min="12031" max="12031" width="38" style="360" customWidth="1"/>
    <col min="12032" max="12032" width="8.42578125" style="360" customWidth="1"/>
    <col min="12033" max="12033" width="15.7109375" style="360" customWidth="1"/>
    <col min="12034" max="12034" width="18.28515625" style="360" customWidth="1"/>
    <col min="12035" max="12035" width="17.85546875" style="360" customWidth="1"/>
    <col min="12036" max="12036" width="0" style="360" hidden="1" customWidth="1"/>
    <col min="12037" max="12037" width="33.28515625" style="360" customWidth="1"/>
    <col min="12038" max="12285" width="10.7109375" style="360"/>
    <col min="12286" max="12286" width="13.140625" style="360" customWidth="1"/>
    <col min="12287" max="12287" width="38" style="360" customWidth="1"/>
    <col min="12288" max="12288" width="8.42578125" style="360" customWidth="1"/>
    <col min="12289" max="12289" width="15.7109375" style="360" customWidth="1"/>
    <col min="12290" max="12290" width="18.28515625" style="360" customWidth="1"/>
    <col min="12291" max="12291" width="17.85546875" style="360" customWidth="1"/>
    <col min="12292" max="12292" width="0" style="360" hidden="1" customWidth="1"/>
    <col min="12293" max="12293" width="33.28515625" style="360" customWidth="1"/>
    <col min="12294" max="12541" width="10.7109375" style="360"/>
    <col min="12542" max="12542" width="13.140625" style="360" customWidth="1"/>
    <col min="12543" max="12543" width="38" style="360" customWidth="1"/>
    <col min="12544" max="12544" width="8.42578125" style="360" customWidth="1"/>
    <col min="12545" max="12545" width="15.7109375" style="360" customWidth="1"/>
    <col min="12546" max="12546" width="18.28515625" style="360" customWidth="1"/>
    <col min="12547" max="12547" width="17.85546875" style="360" customWidth="1"/>
    <col min="12548" max="12548" width="0" style="360" hidden="1" customWidth="1"/>
    <col min="12549" max="12549" width="33.28515625" style="360" customWidth="1"/>
    <col min="12550" max="12797" width="10.7109375" style="360"/>
    <col min="12798" max="12798" width="13.140625" style="360" customWidth="1"/>
    <col min="12799" max="12799" width="38" style="360" customWidth="1"/>
    <col min="12800" max="12800" width="8.42578125" style="360" customWidth="1"/>
    <col min="12801" max="12801" width="15.7109375" style="360" customWidth="1"/>
    <col min="12802" max="12802" width="18.28515625" style="360" customWidth="1"/>
    <col min="12803" max="12803" width="17.85546875" style="360" customWidth="1"/>
    <col min="12804" max="12804" width="0" style="360" hidden="1" customWidth="1"/>
    <col min="12805" max="12805" width="33.28515625" style="360" customWidth="1"/>
    <col min="12806" max="13053" width="10.7109375" style="360"/>
    <col min="13054" max="13054" width="13.140625" style="360" customWidth="1"/>
    <col min="13055" max="13055" width="38" style="360" customWidth="1"/>
    <col min="13056" max="13056" width="8.42578125" style="360" customWidth="1"/>
    <col min="13057" max="13057" width="15.7109375" style="360" customWidth="1"/>
    <col min="13058" max="13058" width="18.28515625" style="360" customWidth="1"/>
    <col min="13059" max="13059" width="17.85546875" style="360" customWidth="1"/>
    <col min="13060" max="13060" width="0" style="360" hidden="1" customWidth="1"/>
    <col min="13061" max="13061" width="33.28515625" style="360" customWidth="1"/>
    <col min="13062" max="13309" width="10.7109375" style="360"/>
    <col min="13310" max="13310" width="13.140625" style="360" customWidth="1"/>
    <col min="13311" max="13311" width="38" style="360" customWidth="1"/>
    <col min="13312" max="13312" width="8.42578125" style="360" customWidth="1"/>
    <col min="13313" max="13313" width="15.7109375" style="360" customWidth="1"/>
    <col min="13314" max="13314" width="18.28515625" style="360" customWidth="1"/>
    <col min="13315" max="13315" width="17.85546875" style="360" customWidth="1"/>
    <col min="13316" max="13316" width="0" style="360" hidden="1" customWidth="1"/>
    <col min="13317" max="13317" width="33.28515625" style="360" customWidth="1"/>
    <col min="13318" max="13565" width="10.7109375" style="360"/>
    <col min="13566" max="13566" width="13.140625" style="360" customWidth="1"/>
    <col min="13567" max="13567" width="38" style="360" customWidth="1"/>
    <col min="13568" max="13568" width="8.42578125" style="360" customWidth="1"/>
    <col min="13569" max="13569" width="15.7109375" style="360" customWidth="1"/>
    <col min="13570" max="13570" width="18.28515625" style="360" customWidth="1"/>
    <col min="13571" max="13571" width="17.85546875" style="360" customWidth="1"/>
    <col min="13572" max="13572" width="0" style="360" hidden="1" customWidth="1"/>
    <col min="13573" max="13573" width="33.28515625" style="360" customWidth="1"/>
    <col min="13574" max="13821" width="10.7109375" style="360"/>
    <col min="13822" max="13822" width="13.140625" style="360" customWidth="1"/>
    <col min="13823" max="13823" width="38" style="360" customWidth="1"/>
    <col min="13824" max="13824" width="8.42578125" style="360" customWidth="1"/>
    <col min="13825" max="13825" width="15.7109375" style="360" customWidth="1"/>
    <col min="13826" max="13826" width="18.28515625" style="360" customWidth="1"/>
    <col min="13827" max="13827" width="17.85546875" style="360" customWidth="1"/>
    <col min="13828" max="13828" width="0" style="360" hidden="1" customWidth="1"/>
    <col min="13829" max="13829" width="33.28515625" style="360" customWidth="1"/>
    <col min="13830" max="14077" width="10.7109375" style="360"/>
    <col min="14078" max="14078" width="13.140625" style="360" customWidth="1"/>
    <col min="14079" max="14079" width="38" style="360" customWidth="1"/>
    <col min="14080" max="14080" width="8.42578125" style="360" customWidth="1"/>
    <col min="14081" max="14081" width="15.7109375" style="360" customWidth="1"/>
    <col min="14082" max="14082" width="18.28515625" style="360" customWidth="1"/>
    <col min="14083" max="14083" width="17.85546875" style="360" customWidth="1"/>
    <col min="14084" max="14084" width="0" style="360" hidden="1" customWidth="1"/>
    <col min="14085" max="14085" width="33.28515625" style="360" customWidth="1"/>
    <col min="14086" max="14333" width="10.7109375" style="360"/>
    <col min="14334" max="14334" width="13.140625" style="360" customWidth="1"/>
    <col min="14335" max="14335" width="38" style="360" customWidth="1"/>
    <col min="14336" max="14336" width="8.42578125" style="360" customWidth="1"/>
    <col min="14337" max="14337" width="15.7109375" style="360" customWidth="1"/>
    <col min="14338" max="14338" width="18.28515625" style="360" customWidth="1"/>
    <col min="14339" max="14339" width="17.85546875" style="360" customWidth="1"/>
    <col min="14340" max="14340" width="0" style="360" hidden="1" customWidth="1"/>
    <col min="14341" max="14341" width="33.28515625" style="360" customWidth="1"/>
    <col min="14342" max="14589" width="10.7109375" style="360"/>
    <col min="14590" max="14590" width="13.140625" style="360" customWidth="1"/>
    <col min="14591" max="14591" width="38" style="360" customWidth="1"/>
    <col min="14592" max="14592" width="8.42578125" style="360" customWidth="1"/>
    <col min="14593" max="14593" width="15.7109375" style="360" customWidth="1"/>
    <col min="14594" max="14594" width="18.28515625" style="360" customWidth="1"/>
    <col min="14595" max="14595" width="17.85546875" style="360" customWidth="1"/>
    <col min="14596" max="14596" width="0" style="360" hidden="1" customWidth="1"/>
    <col min="14597" max="14597" width="33.28515625" style="360" customWidth="1"/>
    <col min="14598" max="14845" width="10.7109375" style="360"/>
    <col min="14846" max="14846" width="13.140625" style="360" customWidth="1"/>
    <col min="14847" max="14847" width="38" style="360" customWidth="1"/>
    <col min="14848" max="14848" width="8.42578125" style="360" customWidth="1"/>
    <col min="14849" max="14849" width="15.7109375" style="360" customWidth="1"/>
    <col min="14850" max="14850" width="18.28515625" style="360" customWidth="1"/>
    <col min="14851" max="14851" width="17.85546875" style="360" customWidth="1"/>
    <col min="14852" max="14852" width="0" style="360" hidden="1" customWidth="1"/>
    <col min="14853" max="14853" width="33.28515625" style="360" customWidth="1"/>
    <col min="14854" max="15101" width="10.7109375" style="360"/>
    <col min="15102" max="15102" width="13.140625" style="360" customWidth="1"/>
    <col min="15103" max="15103" width="38" style="360" customWidth="1"/>
    <col min="15104" max="15104" width="8.42578125" style="360" customWidth="1"/>
    <col min="15105" max="15105" width="15.7109375" style="360" customWidth="1"/>
    <col min="15106" max="15106" width="18.28515625" style="360" customWidth="1"/>
    <col min="15107" max="15107" width="17.85546875" style="360" customWidth="1"/>
    <col min="15108" max="15108" width="0" style="360" hidden="1" customWidth="1"/>
    <col min="15109" max="15109" width="33.28515625" style="360" customWidth="1"/>
    <col min="15110" max="15357" width="10.7109375" style="360"/>
    <col min="15358" max="15358" width="13.140625" style="360" customWidth="1"/>
    <col min="15359" max="15359" width="38" style="360" customWidth="1"/>
    <col min="15360" max="15360" width="8.42578125" style="360" customWidth="1"/>
    <col min="15361" max="15361" width="15.7109375" style="360" customWidth="1"/>
    <col min="15362" max="15362" width="18.28515625" style="360" customWidth="1"/>
    <col min="15363" max="15363" width="17.85546875" style="360" customWidth="1"/>
    <col min="15364" max="15364" width="0" style="360" hidden="1" customWidth="1"/>
    <col min="15365" max="15365" width="33.28515625" style="360" customWidth="1"/>
    <col min="15366" max="15613" width="10.7109375" style="360"/>
    <col min="15614" max="15614" width="13.140625" style="360" customWidth="1"/>
    <col min="15615" max="15615" width="38" style="360" customWidth="1"/>
    <col min="15616" max="15616" width="8.42578125" style="360" customWidth="1"/>
    <col min="15617" max="15617" width="15.7109375" style="360" customWidth="1"/>
    <col min="15618" max="15618" width="18.28515625" style="360" customWidth="1"/>
    <col min="15619" max="15619" width="17.85546875" style="360" customWidth="1"/>
    <col min="15620" max="15620" width="0" style="360" hidden="1" customWidth="1"/>
    <col min="15621" max="15621" width="33.28515625" style="360" customWidth="1"/>
    <col min="15622" max="15869" width="10.7109375" style="360"/>
    <col min="15870" max="15870" width="13.140625" style="360" customWidth="1"/>
    <col min="15871" max="15871" width="38" style="360" customWidth="1"/>
    <col min="15872" max="15872" width="8.42578125" style="360" customWidth="1"/>
    <col min="15873" max="15873" width="15.7109375" style="360" customWidth="1"/>
    <col min="15874" max="15874" width="18.28515625" style="360" customWidth="1"/>
    <col min="15875" max="15875" width="17.85546875" style="360" customWidth="1"/>
    <col min="15876" max="15876" width="0" style="360" hidden="1" customWidth="1"/>
    <col min="15877" max="15877" width="33.28515625" style="360" customWidth="1"/>
    <col min="15878" max="16125" width="10.7109375" style="360"/>
    <col min="16126" max="16126" width="13.140625" style="360" customWidth="1"/>
    <col min="16127" max="16127" width="38" style="360" customWidth="1"/>
    <col min="16128" max="16128" width="8.42578125" style="360" customWidth="1"/>
    <col min="16129" max="16129" width="15.7109375" style="360" customWidth="1"/>
    <col min="16130" max="16130" width="18.28515625" style="360" customWidth="1"/>
    <col min="16131" max="16131" width="17.85546875" style="360" customWidth="1"/>
    <col min="16132" max="16132" width="0" style="360" hidden="1" customWidth="1"/>
    <col min="16133" max="16133" width="33.28515625" style="360" customWidth="1"/>
    <col min="16134" max="16384" width="10.7109375" style="360"/>
  </cols>
  <sheetData>
    <row r="1" spans="1:9" ht="13.9" x14ac:dyDescent="0.3">
      <c r="A1" s="547" t="str">
        <f>'06-DO'!B2</f>
        <v>PROIECT : Extindere infrastructură educațională – Centrul Școlar pentru Educație înclusivă „Constantin Pufan”</v>
      </c>
      <c r="B1" s="361"/>
      <c r="C1" s="357"/>
      <c r="D1" s="779"/>
      <c r="E1" s="358"/>
      <c r="F1" s="358"/>
      <c r="G1" s="359"/>
      <c r="H1" s="362"/>
    </row>
    <row r="2" spans="1:9" ht="13.15" x14ac:dyDescent="0.3">
      <c r="A2" s="361"/>
      <c r="B2" s="361"/>
      <c r="C2" s="357"/>
      <c r="D2" s="779"/>
      <c r="E2" s="358"/>
      <c r="F2" s="358"/>
      <c r="G2" s="359"/>
      <c r="H2" s="362"/>
    </row>
    <row r="3" spans="1:9" ht="13.15" x14ac:dyDescent="0.3">
      <c r="A3" s="359"/>
      <c r="B3" s="359"/>
      <c r="C3" s="357"/>
      <c r="D3" s="779"/>
      <c r="E3" s="358"/>
      <c r="F3" s="358"/>
      <c r="G3" s="359"/>
      <c r="H3" s="362"/>
    </row>
    <row r="4" spans="1:9" ht="13.15" x14ac:dyDescent="0.3">
      <c r="A4" s="1445" t="s">
        <v>1217</v>
      </c>
      <c r="B4" s="1445"/>
      <c r="C4" s="1445"/>
      <c r="D4" s="1445"/>
      <c r="E4" s="1445"/>
      <c r="F4" s="1445"/>
      <c r="G4" s="1445"/>
      <c r="H4" s="1445"/>
    </row>
    <row r="5" spans="1:9" ht="13.15" x14ac:dyDescent="0.3">
      <c r="A5" s="1445" t="s">
        <v>1455</v>
      </c>
      <c r="B5" s="1445"/>
      <c r="C5" s="1445"/>
      <c r="D5" s="1445"/>
      <c r="E5" s="1445"/>
      <c r="F5" s="1445"/>
      <c r="G5" s="1445"/>
      <c r="H5" s="1445"/>
    </row>
    <row r="6" spans="1:9" ht="13.15" x14ac:dyDescent="0.3">
      <c r="A6" s="1445" t="str">
        <f>DG!C65</f>
        <v>OBIECT 6 - Realizare Sala de sport</v>
      </c>
      <c r="B6" s="1445"/>
      <c r="C6" s="1445"/>
      <c r="D6" s="1445"/>
      <c r="E6" s="1445"/>
      <c r="F6" s="1445"/>
      <c r="G6" s="1445"/>
      <c r="H6" s="1445"/>
    </row>
    <row r="7" spans="1:9" ht="13.15" x14ac:dyDescent="0.3">
      <c r="A7" s="762"/>
      <c r="B7" s="361"/>
      <c r="C7" s="762"/>
      <c r="D7" s="780"/>
      <c r="E7" s="560"/>
      <c r="F7" s="560"/>
      <c r="G7" s="762"/>
      <c r="H7" s="356"/>
    </row>
    <row r="8" spans="1:9" ht="13.15" x14ac:dyDescent="0.3">
      <c r="A8" s="359"/>
      <c r="B8" s="359"/>
      <c r="C8" s="357"/>
      <c r="D8" s="788">
        <v>1</v>
      </c>
      <c r="E8" s="358"/>
      <c r="F8" s="358"/>
      <c r="G8" s="359"/>
      <c r="H8" s="362"/>
    </row>
    <row r="9" spans="1:9" ht="38.25" x14ac:dyDescent="0.25">
      <c r="A9" s="1446" t="s">
        <v>1179</v>
      </c>
      <c r="B9" s="1446" t="s">
        <v>1180</v>
      </c>
      <c r="C9" s="1446" t="s">
        <v>1181</v>
      </c>
      <c r="D9" s="1447" t="s">
        <v>1456</v>
      </c>
      <c r="E9" s="1448" t="s">
        <v>1456</v>
      </c>
      <c r="F9" s="763" t="s">
        <v>1183</v>
      </c>
      <c r="G9" s="1446" t="s">
        <v>1184</v>
      </c>
      <c r="H9" s="1446" t="s">
        <v>1185</v>
      </c>
    </row>
    <row r="10" spans="1:9" ht="25.5" x14ac:dyDescent="0.25">
      <c r="A10" s="1446"/>
      <c r="B10" s="1446"/>
      <c r="C10" s="1446"/>
      <c r="D10" s="1447"/>
      <c r="E10" s="1448"/>
      <c r="F10" s="763" t="s">
        <v>1186</v>
      </c>
      <c r="G10" s="1446"/>
      <c r="H10" s="1446"/>
    </row>
    <row r="11" spans="1:9" ht="13.15" x14ac:dyDescent="0.3">
      <c r="A11" s="760">
        <v>1</v>
      </c>
      <c r="B11" s="760">
        <v>2</v>
      </c>
      <c r="C11" s="760">
        <v>3</v>
      </c>
      <c r="D11" s="778">
        <v>4</v>
      </c>
      <c r="E11" s="562">
        <v>4</v>
      </c>
      <c r="F11" s="562">
        <v>5</v>
      </c>
      <c r="G11" s="760">
        <v>7</v>
      </c>
      <c r="H11" s="760">
        <v>6</v>
      </c>
    </row>
    <row r="12" spans="1:9" ht="13.15" x14ac:dyDescent="0.3">
      <c r="A12" s="563" t="s">
        <v>1457</v>
      </c>
      <c r="B12" s="564"/>
      <c r="C12" s="565"/>
      <c r="D12" s="781"/>
      <c r="E12" s="565"/>
      <c r="F12" s="565"/>
      <c r="G12" s="565"/>
      <c r="H12" s="566"/>
    </row>
    <row r="13" spans="1:9" ht="13.15" x14ac:dyDescent="0.3">
      <c r="A13" s="364" t="s">
        <v>1458</v>
      </c>
      <c r="B13" s="530"/>
      <c r="C13" s="531"/>
      <c r="D13" s="783">
        <v>435</v>
      </c>
      <c r="E13" s="532"/>
      <c r="F13" s="532">
        <f>E13*C13</f>
        <v>0</v>
      </c>
      <c r="G13" s="530"/>
      <c r="H13" s="567"/>
      <c r="I13" s="405"/>
    </row>
    <row r="14" spans="1:9" ht="13.15" x14ac:dyDescent="0.3">
      <c r="A14" s="364" t="s">
        <v>1461</v>
      </c>
      <c r="B14" s="530"/>
      <c r="C14" s="531"/>
      <c r="D14" s="783">
        <v>241.57</v>
      </c>
      <c r="E14" s="532"/>
      <c r="F14" s="532">
        <f t="shared" ref="F14:F16" si="0">E14*C14</f>
        <v>0</v>
      </c>
      <c r="G14" s="530"/>
      <c r="H14" s="533"/>
    </row>
    <row r="15" spans="1:9" ht="13.15" x14ac:dyDescent="0.3">
      <c r="A15" s="364" t="s">
        <v>1462</v>
      </c>
      <c r="B15" s="530"/>
      <c r="C15" s="531"/>
      <c r="D15" s="844">
        <v>337.96</v>
      </c>
      <c r="E15" s="532"/>
      <c r="F15" s="532">
        <f t="shared" si="0"/>
        <v>0</v>
      </c>
      <c r="G15" s="530"/>
      <c r="H15" s="533"/>
    </row>
    <row r="16" spans="1:9" ht="14.45" x14ac:dyDescent="0.3">
      <c r="A16" s="364" t="s">
        <v>1463</v>
      </c>
      <c r="B16" s="530"/>
      <c r="C16" s="531"/>
      <c r="D16" s="783">
        <v>1200</v>
      </c>
      <c r="E16" s="532"/>
      <c r="F16" s="532">
        <f t="shared" si="0"/>
        <v>0</v>
      </c>
      <c r="G16" s="530"/>
      <c r="H16" s="533"/>
      <c r="I16" s="426"/>
    </row>
    <row r="17" spans="1:9" ht="14.45" x14ac:dyDescent="0.3">
      <c r="A17" s="364" t="s">
        <v>1464</v>
      </c>
      <c r="B17" s="530"/>
      <c r="C17" s="531"/>
      <c r="D17" s="783">
        <v>1060</v>
      </c>
      <c r="E17" s="532"/>
      <c r="F17" s="532">
        <f t="shared" ref="F17:F19" si="1">C17*E17</f>
        <v>0</v>
      </c>
      <c r="G17" s="530"/>
      <c r="H17" s="567"/>
      <c r="I17" s="426"/>
    </row>
    <row r="18" spans="1:9" ht="13.15" x14ac:dyDescent="0.3">
      <c r="A18" s="364" t="s">
        <v>1465</v>
      </c>
      <c r="B18" s="530"/>
      <c r="C18" s="531"/>
      <c r="D18" s="783">
        <v>470</v>
      </c>
      <c r="E18" s="532"/>
      <c r="F18" s="532">
        <f t="shared" si="1"/>
        <v>0</v>
      </c>
      <c r="G18" s="530"/>
      <c r="H18" s="533"/>
    </row>
    <row r="19" spans="1:9" ht="13.15" x14ac:dyDescent="0.3">
      <c r="A19" s="364" t="s">
        <v>1466</v>
      </c>
      <c r="B19" s="530"/>
      <c r="C19" s="531"/>
      <c r="D19" s="783">
        <v>200</v>
      </c>
      <c r="E19" s="532"/>
      <c r="F19" s="532">
        <f t="shared" si="1"/>
        <v>0</v>
      </c>
      <c r="G19" s="530"/>
      <c r="H19" s="533"/>
    </row>
    <row r="20" spans="1:9" ht="13.15" x14ac:dyDescent="0.3">
      <c r="A20" s="364" t="s">
        <v>1467</v>
      </c>
      <c r="B20" s="530"/>
      <c r="C20" s="531"/>
      <c r="D20" s="783">
        <v>1050</v>
      </c>
      <c r="E20" s="532"/>
      <c r="F20" s="532">
        <f t="shared" ref="F20" si="2">E20*C20</f>
        <v>0</v>
      </c>
      <c r="G20" s="530"/>
      <c r="H20" s="533"/>
    </row>
    <row r="21" spans="1:9" ht="13.15" hidden="1" x14ac:dyDescent="0.3">
      <c r="A21" s="364" t="s">
        <v>1468</v>
      </c>
      <c r="B21" s="530"/>
      <c r="C21" s="531"/>
      <c r="D21" s="783"/>
      <c r="E21" s="532"/>
      <c r="F21" s="532">
        <f t="shared" ref="F21:F32" si="3">E21*C21</f>
        <v>0</v>
      </c>
      <c r="G21" s="530"/>
      <c r="H21" s="533"/>
    </row>
    <row r="22" spans="1:9" ht="14.45" hidden="1" x14ac:dyDescent="0.3">
      <c r="A22" s="364" t="s">
        <v>1469</v>
      </c>
      <c r="B22" s="530"/>
      <c r="C22" s="531"/>
      <c r="D22" s="783"/>
      <c r="E22" s="532"/>
      <c r="F22" s="532">
        <f t="shared" si="3"/>
        <v>0</v>
      </c>
      <c r="G22" s="530"/>
      <c r="H22" s="533"/>
      <c r="I22" s="426"/>
    </row>
    <row r="23" spans="1:9" ht="13.15" hidden="1" x14ac:dyDescent="0.3">
      <c r="A23" s="364" t="s">
        <v>1470</v>
      </c>
      <c r="B23" s="530"/>
      <c r="C23" s="531"/>
      <c r="D23" s="783"/>
      <c r="E23" s="532"/>
      <c r="F23" s="532">
        <f t="shared" si="3"/>
        <v>0</v>
      </c>
      <c r="G23" s="530"/>
      <c r="H23" s="533"/>
    </row>
    <row r="24" spans="1:9" ht="13.15" hidden="1" x14ac:dyDescent="0.3">
      <c r="A24" s="364" t="s">
        <v>1471</v>
      </c>
      <c r="B24" s="530"/>
      <c r="C24" s="531"/>
      <c r="D24" s="783"/>
      <c r="E24" s="532"/>
      <c r="F24" s="532">
        <f t="shared" si="3"/>
        <v>0</v>
      </c>
      <c r="G24" s="530"/>
      <c r="H24" s="533"/>
    </row>
    <row r="25" spans="1:9" ht="13.15" hidden="1" x14ac:dyDescent="0.3">
      <c r="A25" s="364" t="s">
        <v>1472</v>
      </c>
      <c r="B25" s="530"/>
      <c r="C25" s="531"/>
      <c r="D25" s="783"/>
      <c r="E25" s="532"/>
      <c r="F25" s="532">
        <f t="shared" si="3"/>
        <v>0</v>
      </c>
      <c r="G25" s="530"/>
      <c r="H25" s="533"/>
    </row>
    <row r="26" spans="1:9" ht="13.15" hidden="1" x14ac:dyDescent="0.3">
      <c r="A26" s="364" t="s">
        <v>1473</v>
      </c>
      <c r="B26" s="530"/>
      <c r="C26" s="531"/>
      <c r="D26" s="783"/>
      <c r="E26" s="532"/>
      <c r="F26" s="532">
        <f t="shared" si="3"/>
        <v>0</v>
      </c>
      <c r="G26" s="530"/>
      <c r="H26" s="533"/>
    </row>
    <row r="27" spans="1:9" ht="14.45" hidden="1" x14ac:dyDescent="0.3">
      <c r="A27" s="364" t="s">
        <v>1474</v>
      </c>
      <c r="B27" s="530"/>
      <c r="C27" s="531"/>
      <c r="D27" s="783"/>
      <c r="E27" s="532"/>
      <c r="F27" s="532">
        <f t="shared" si="3"/>
        <v>0</v>
      </c>
      <c r="G27" s="530"/>
      <c r="H27" s="533"/>
      <c r="I27" s="426"/>
    </row>
    <row r="28" spans="1:9" ht="14.45" hidden="1" x14ac:dyDescent="0.3">
      <c r="A28" s="364" t="s">
        <v>1475</v>
      </c>
      <c r="B28" s="530"/>
      <c r="C28" s="531"/>
      <c r="D28" s="783"/>
      <c r="E28" s="532"/>
      <c r="F28" s="532">
        <f t="shared" si="3"/>
        <v>0</v>
      </c>
      <c r="G28" s="530"/>
      <c r="H28" s="533"/>
      <c r="I28" s="426"/>
    </row>
    <row r="29" spans="1:9" ht="14.45" hidden="1" x14ac:dyDescent="0.3">
      <c r="A29" s="364" t="s">
        <v>1476</v>
      </c>
      <c r="B29" s="530"/>
      <c r="C29" s="531"/>
      <c r="D29" s="783"/>
      <c r="E29" s="532"/>
      <c r="F29" s="532">
        <f t="shared" si="3"/>
        <v>0</v>
      </c>
      <c r="G29" s="530"/>
      <c r="H29" s="567"/>
      <c r="I29" s="426"/>
    </row>
    <row r="30" spans="1:9" ht="14.45" hidden="1" x14ac:dyDescent="0.3">
      <c r="A30" s="364" t="s">
        <v>1477</v>
      </c>
      <c r="B30" s="530"/>
      <c r="C30" s="531"/>
      <c r="D30" s="783"/>
      <c r="E30" s="532"/>
      <c r="F30" s="532">
        <f t="shared" si="3"/>
        <v>0</v>
      </c>
      <c r="G30" s="530"/>
      <c r="H30" s="533"/>
      <c r="I30" s="426"/>
    </row>
    <row r="31" spans="1:9" ht="14.45" hidden="1" x14ac:dyDescent="0.3">
      <c r="A31" s="364" t="s">
        <v>1478</v>
      </c>
      <c r="B31" s="530"/>
      <c r="C31" s="531"/>
      <c r="D31" s="783"/>
      <c r="E31" s="532"/>
      <c r="F31" s="532">
        <f t="shared" si="3"/>
        <v>0</v>
      </c>
      <c r="G31" s="530"/>
      <c r="H31" s="533"/>
      <c r="I31" s="426"/>
    </row>
    <row r="32" spans="1:9" ht="13.15" hidden="1" x14ac:dyDescent="0.3">
      <c r="A32" s="364" t="s">
        <v>1479</v>
      </c>
      <c r="B32" s="530"/>
      <c r="C32" s="531"/>
      <c r="D32" s="783"/>
      <c r="E32" s="532"/>
      <c r="F32" s="532">
        <f t="shared" si="3"/>
        <v>0</v>
      </c>
      <c r="H32" s="533"/>
    </row>
    <row r="33" spans="1:9" ht="14.45" hidden="1" x14ac:dyDescent="0.3">
      <c r="A33" s="364" t="s">
        <v>1480</v>
      </c>
      <c r="B33" s="825"/>
      <c r="C33" s="810"/>
      <c r="D33" s="770"/>
      <c r="E33" s="809"/>
      <c r="F33" s="532">
        <f>E33*C33</f>
        <v>0</v>
      </c>
      <c r="G33" s="532">
        <f>D33*E33</f>
        <v>0</v>
      </c>
      <c r="H33" s="533"/>
      <c r="I33" s="426"/>
    </row>
    <row r="34" spans="1:9" ht="13.15" hidden="1" x14ac:dyDescent="0.3">
      <c r="A34" s="364" t="s">
        <v>1767</v>
      </c>
      <c r="B34" s="825"/>
      <c r="C34" s="810"/>
      <c r="D34" s="770"/>
      <c r="E34" s="809"/>
      <c r="F34" s="532">
        <f>E34*C34</f>
        <v>0</v>
      </c>
      <c r="G34" s="532">
        <f>D34*E34</f>
        <v>0</v>
      </c>
      <c r="H34" s="533"/>
    </row>
    <row r="35" spans="1:9" ht="14.45" hidden="1" x14ac:dyDescent="0.3">
      <c r="A35" s="364" t="s">
        <v>1768</v>
      </c>
      <c r="B35" s="530"/>
      <c r="C35" s="811"/>
      <c r="D35" s="812"/>
      <c r="E35" s="532"/>
      <c r="F35" s="532">
        <f>E35*C35</f>
        <v>0</v>
      </c>
      <c r="G35" s="530"/>
      <c r="H35" s="533"/>
      <c r="I35" s="426"/>
    </row>
    <row r="36" spans="1:9" ht="13.15" hidden="1" x14ac:dyDescent="0.3">
      <c r="A36" s="563" t="s">
        <v>1481</v>
      </c>
      <c r="B36" s="564"/>
      <c r="C36" s="565"/>
      <c r="D36" s="781"/>
      <c r="E36" s="565"/>
      <c r="F36" s="565"/>
      <c r="G36" s="565"/>
      <c r="H36" s="566"/>
    </row>
    <row r="37" spans="1:9" ht="13.15" hidden="1" x14ac:dyDescent="0.3">
      <c r="A37" s="366" t="s">
        <v>1482</v>
      </c>
      <c r="B37" s="558"/>
      <c r="C37" s="364"/>
      <c r="D37" s="782"/>
      <c r="E37" s="532"/>
      <c r="F37" s="532">
        <f>C37*E37</f>
        <v>0</v>
      </c>
      <c r="G37" s="364"/>
      <c r="H37" s="567"/>
    </row>
    <row r="38" spans="1:9" ht="13.15" hidden="1" x14ac:dyDescent="0.3">
      <c r="A38" s="366" t="s">
        <v>1483</v>
      </c>
      <c r="B38" s="530"/>
      <c r="C38" s="531"/>
      <c r="D38" s="783"/>
      <c r="E38" s="532"/>
      <c r="F38" s="532">
        <f>C38*E38</f>
        <v>0</v>
      </c>
      <c r="G38" s="530"/>
      <c r="H38" s="533"/>
    </row>
    <row r="39" spans="1:9" ht="13.15" hidden="1" x14ac:dyDescent="0.3">
      <c r="A39" s="366" t="s">
        <v>1484</v>
      </c>
      <c r="B39" s="530"/>
      <c r="C39" s="531"/>
      <c r="D39" s="783"/>
      <c r="E39" s="532"/>
      <c r="F39" s="532">
        <f t="shared" ref="F39:F46" si="4">C39*E39</f>
        <v>0</v>
      </c>
      <c r="G39" s="530"/>
      <c r="H39" s="533"/>
    </row>
    <row r="40" spans="1:9" ht="13.15" hidden="1" x14ac:dyDescent="0.3">
      <c r="A40" s="366" t="s">
        <v>1485</v>
      </c>
      <c r="B40" s="530"/>
      <c r="C40" s="531"/>
      <c r="D40" s="783"/>
      <c r="E40" s="532"/>
      <c r="F40" s="532">
        <f t="shared" si="4"/>
        <v>0</v>
      </c>
      <c r="G40" s="530"/>
      <c r="H40" s="533"/>
    </row>
    <row r="41" spans="1:9" ht="13.15" hidden="1" x14ac:dyDescent="0.3">
      <c r="A41" s="366" t="s">
        <v>1486</v>
      </c>
      <c r="B41" s="530"/>
      <c r="C41" s="531"/>
      <c r="D41" s="783"/>
      <c r="E41" s="532"/>
      <c r="F41" s="532">
        <f t="shared" si="4"/>
        <v>0</v>
      </c>
      <c r="G41" s="530"/>
      <c r="H41" s="533"/>
    </row>
    <row r="42" spans="1:9" ht="13.15" hidden="1" x14ac:dyDescent="0.3">
      <c r="A42" s="366" t="s">
        <v>1769</v>
      </c>
      <c r="B42" s="530"/>
      <c r="C42" s="531"/>
      <c r="D42" s="783"/>
      <c r="E42" s="532"/>
      <c r="F42" s="532">
        <f t="shared" si="4"/>
        <v>0</v>
      </c>
      <c r="G42" s="530"/>
      <c r="H42" s="533"/>
    </row>
    <row r="43" spans="1:9" ht="13.15" hidden="1" x14ac:dyDescent="0.3">
      <c r="A43" s="366" t="s">
        <v>1770</v>
      </c>
      <c r="B43" s="530"/>
      <c r="C43" s="531"/>
      <c r="D43" s="783"/>
      <c r="E43" s="532"/>
      <c r="F43" s="532">
        <f t="shared" si="4"/>
        <v>0</v>
      </c>
      <c r="G43" s="530"/>
      <c r="H43" s="533"/>
    </row>
    <row r="44" spans="1:9" ht="13.15" hidden="1" x14ac:dyDescent="0.3">
      <c r="A44" s="366" t="s">
        <v>1771</v>
      </c>
      <c r="B44" s="530"/>
      <c r="C44" s="531"/>
      <c r="D44" s="783"/>
      <c r="E44" s="532"/>
      <c r="F44" s="532">
        <f t="shared" si="4"/>
        <v>0</v>
      </c>
      <c r="G44" s="530"/>
      <c r="H44" s="533"/>
    </row>
    <row r="45" spans="1:9" ht="13.15" hidden="1" x14ac:dyDescent="0.3">
      <c r="A45" s="366" t="s">
        <v>1772</v>
      </c>
      <c r="B45" s="530"/>
      <c r="C45" s="531"/>
      <c r="D45" s="783"/>
      <c r="E45" s="532"/>
      <c r="F45" s="532">
        <f t="shared" si="4"/>
        <v>0</v>
      </c>
      <c r="G45" s="530"/>
      <c r="H45" s="533"/>
    </row>
    <row r="46" spans="1:9" ht="13.15" hidden="1" x14ac:dyDescent="0.3">
      <c r="A46" s="366" t="s">
        <v>1773</v>
      </c>
      <c r="B46" s="530"/>
      <c r="C46" s="531"/>
      <c r="D46" s="783"/>
      <c r="E46" s="532"/>
      <c r="F46" s="532">
        <f t="shared" si="4"/>
        <v>0</v>
      </c>
      <c r="G46" s="530"/>
      <c r="H46" s="533"/>
    </row>
    <row r="47" spans="1:9" ht="13.15" hidden="1" x14ac:dyDescent="0.3">
      <c r="A47" s="563" t="s">
        <v>13</v>
      </c>
      <c r="B47" s="564"/>
      <c r="C47" s="565"/>
      <c r="D47" s="781"/>
      <c r="E47" s="565"/>
      <c r="F47" s="565"/>
      <c r="G47" s="565"/>
      <c r="H47" s="566"/>
    </row>
    <row r="48" spans="1:9" ht="13.15" hidden="1" x14ac:dyDescent="0.3">
      <c r="A48" s="366" t="s">
        <v>1487</v>
      </c>
      <c r="B48" s="797"/>
      <c r="D48" s="798"/>
      <c r="E48" s="799"/>
      <c r="F48" s="799">
        <f>E48*C48</f>
        <v>0</v>
      </c>
      <c r="H48" s="800"/>
    </row>
    <row r="49" spans="1:11" ht="13.15" hidden="1" x14ac:dyDescent="0.3">
      <c r="A49" s="366" t="s">
        <v>1488</v>
      </c>
      <c r="B49" s="530"/>
      <c r="C49" s="531"/>
      <c r="D49" s="783"/>
      <c r="E49" s="532"/>
      <c r="F49" s="799">
        <f t="shared" ref="F49:F54" si="5">E49*C49</f>
        <v>0</v>
      </c>
      <c r="G49" s="530"/>
      <c r="H49" s="533"/>
    </row>
    <row r="50" spans="1:11" ht="30.75" hidden="1" customHeight="1" x14ac:dyDescent="0.3">
      <c r="A50" s="366" t="s">
        <v>1774</v>
      </c>
      <c r="B50" s="530"/>
      <c r="C50" s="531"/>
      <c r="D50" s="783"/>
      <c r="E50" s="532"/>
      <c r="F50" s="799">
        <f t="shared" si="5"/>
        <v>0</v>
      </c>
      <c r="G50" s="530"/>
      <c r="H50" s="533"/>
    </row>
    <row r="51" spans="1:11" ht="13.15" hidden="1" x14ac:dyDescent="0.3">
      <c r="A51" s="366" t="s">
        <v>1775</v>
      </c>
      <c r="C51" s="801"/>
      <c r="D51" s="802"/>
      <c r="E51" s="803"/>
      <c r="F51" s="799">
        <f t="shared" si="5"/>
        <v>0</v>
      </c>
      <c r="H51" s="804"/>
    </row>
    <row r="52" spans="1:11" ht="13.15" hidden="1" x14ac:dyDescent="0.3">
      <c r="A52" s="366" t="s">
        <v>1776</v>
      </c>
      <c r="B52" s="530"/>
      <c r="C52" s="531"/>
      <c r="D52" s="783"/>
      <c r="E52" s="532"/>
      <c r="F52" s="799">
        <f t="shared" si="5"/>
        <v>0</v>
      </c>
      <c r="G52" s="530"/>
      <c r="H52" s="533"/>
    </row>
    <row r="53" spans="1:11" ht="13.15" hidden="1" x14ac:dyDescent="0.3">
      <c r="A53" s="366" t="s">
        <v>1777</v>
      </c>
      <c r="B53" s="530"/>
      <c r="C53" s="531"/>
      <c r="D53" s="783"/>
      <c r="E53" s="532"/>
      <c r="F53" s="799">
        <f t="shared" si="5"/>
        <v>0</v>
      </c>
      <c r="G53" s="530"/>
      <c r="H53" s="533"/>
    </row>
    <row r="54" spans="1:11" ht="13.15" hidden="1" x14ac:dyDescent="0.3">
      <c r="A54" s="366" t="s">
        <v>1778</v>
      </c>
      <c r="B54" s="530"/>
      <c r="C54" s="531"/>
      <c r="D54" s="783"/>
      <c r="E54" s="532"/>
      <c r="F54" s="799">
        <f t="shared" si="5"/>
        <v>0</v>
      </c>
      <c r="G54" s="530"/>
      <c r="H54" s="533"/>
    </row>
    <row r="55" spans="1:11" ht="13.15" hidden="1" x14ac:dyDescent="0.3">
      <c r="A55" s="563" t="s">
        <v>1489</v>
      </c>
      <c r="B55" s="564"/>
      <c r="C55" s="565"/>
      <c r="D55" s="781"/>
      <c r="E55" s="565"/>
      <c r="F55" s="565"/>
      <c r="G55" s="565"/>
      <c r="H55" s="566"/>
    </row>
    <row r="56" spans="1:11" ht="13.15" hidden="1" x14ac:dyDescent="0.3">
      <c r="A56" s="366" t="s">
        <v>1490</v>
      </c>
      <c r="B56" s="534"/>
      <c r="C56" s="536"/>
      <c r="D56" s="784"/>
      <c r="E56" s="532"/>
      <c r="F56" s="532">
        <f>C56*E56</f>
        <v>0</v>
      </c>
      <c r="G56" s="534"/>
      <c r="H56" s="568"/>
    </row>
    <row r="57" spans="1:11" ht="13.15" hidden="1" x14ac:dyDescent="0.3">
      <c r="A57" s="366" t="s">
        <v>1491</v>
      </c>
      <c r="B57" s="530"/>
      <c r="C57" s="531"/>
      <c r="D57" s="783"/>
      <c r="E57" s="532"/>
      <c r="F57" s="532">
        <f>C57*E57</f>
        <v>0</v>
      </c>
      <c r="G57" s="530"/>
      <c r="H57" s="533"/>
    </row>
    <row r="58" spans="1:11" ht="13.15" hidden="1" x14ac:dyDescent="0.3">
      <c r="A58" s="366" t="s">
        <v>1492</v>
      </c>
      <c r="B58" s="530"/>
      <c r="C58" s="531"/>
      <c r="D58" s="783"/>
      <c r="E58" s="532"/>
      <c r="F58" s="532">
        <f>C58*E58</f>
        <v>0</v>
      </c>
      <c r="G58" s="530"/>
      <c r="H58" s="533"/>
    </row>
    <row r="59" spans="1:11" ht="13.15" hidden="1" x14ac:dyDescent="0.3">
      <c r="A59" s="366" t="s">
        <v>1493</v>
      </c>
      <c r="B59" s="530"/>
      <c r="C59" s="531"/>
      <c r="D59" s="783"/>
      <c r="E59" s="532"/>
      <c r="F59" s="532">
        <f>C59*E59</f>
        <v>0</v>
      </c>
      <c r="G59" s="530"/>
      <c r="H59" s="533"/>
    </row>
    <row r="60" spans="1:11" ht="13.15" hidden="1" x14ac:dyDescent="0.3">
      <c r="A60" s="563" t="s">
        <v>1494</v>
      </c>
      <c r="B60" s="564"/>
      <c r="C60" s="574"/>
      <c r="D60" s="772"/>
      <c r="E60" s="575"/>
      <c r="F60" s="575"/>
      <c r="G60" s="576"/>
      <c r="H60" s="577"/>
      <c r="I60" s="530"/>
    </row>
    <row r="61" spans="1:11" ht="14.45" hidden="1" x14ac:dyDescent="0.3">
      <c r="A61" s="366" t="s">
        <v>1495</v>
      </c>
      <c r="B61" s="549"/>
      <c r="C61" s="550"/>
      <c r="D61" s="783"/>
      <c r="E61" s="395"/>
      <c r="F61" s="369">
        <f>C61*D61</f>
        <v>0</v>
      </c>
      <c r="G61" s="551"/>
      <c r="H61" s="552"/>
      <c r="I61" s="553"/>
      <c r="K61" s="559"/>
    </row>
    <row r="62" spans="1:11" ht="14.45" hidden="1" x14ac:dyDescent="0.3">
      <c r="A62" s="366" t="s">
        <v>1496</v>
      </c>
      <c r="B62" s="549"/>
      <c r="C62" s="550"/>
      <c r="D62" s="783"/>
      <c r="E62" s="395"/>
      <c r="F62" s="369">
        <f>C62*D62</f>
        <v>0</v>
      </c>
      <c r="G62" s="551"/>
      <c r="H62" s="552"/>
      <c r="I62" s="553"/>
      <c r="K62" s="559"/>
    </row>
    <row r="63" spans="1:11" ht="13.15" x14ac:dyDescent="0.3">
      <c r="A63" s="1444" t="s">
        <v>545</v>
      </c>
      <c r="B63" s="1444"/>
      <c r="C63" s="1444"/>
      <c r="D63" s="1444"/>
      <c r="E63" s="761"/>
      <c r="F63" s="370">
        <f>SUM(F13:F62)</f>
        <v>0</v>
      </c>
      <c r="G63" s="1444" t="s">
        <v>1188</v>
      </c>
      <c r="H63" s="1444"/>
    </row>
    <row r="64" spans="1:11" ht="13.15" x14ac:dyDescent="0.3">
      <c r="A64" s="359"/>
      <c r="B64" s="359"/>
      <c r="C64" s="372"/>
      <c r="D64" s="779"/>
      <c r="E64" s="358"/>
      <c r="F64" s="358"/>
      <c r="G64" s="359"/>
      <c r="H64" s="362"/>
    </row>
    <row r="65" spans="1:8" ht="13.9" x14ac:dyDescent="0.25">
      <c r="A65" s="359"/>
      <c r="B65" s="359"/>
      <c r="C65" s="357"/>
      <c r="D65" s="779"/>
      <c r="E65" s="358"/>
      <c r="F65" s="358"/>
      <c r="G65" s="359"/>
      <c r="H65" s="44" t="s">
        <v>82</v>
      </c>
    </row>
    <row r="66" spans="1:8" ht="13.9" x14ac:dyDescent="0.25">
      <c r="A66" s="359"/>
      <c r="B66" s="359"/>
      <c r="C66" s="357"/>
      <c r="D66" s="779"/>
      <c r="E66" s="358"/>
      <c r="F66" s="358"/>
      <c r="G66" s="359"/>
      <c r="H66" s="45"/>
    </row>
    <row r="67" spans="1:8" ht="13.9" x14ac:dyDescent="0.25">
      <c r="A67" s="359"/>
      <c r="B67" s="359"/>
      <c r="C67" s="357"/>
      <c r="D67" s="779"/>
      <c r="E67" s="358"/>
      <c r="F67" s="358"/>
      <c r="G67" s="359"/>
      <c r="H67" s="44" t="s">
        <v>1516</v>
      </c>
    </row>
    <row r="68" spans="1:8" ht="13.9" x14ac:dyDescent="0.25">
      <c r="A68" s="359"/>
      <c r="B68" s="359"/>
      <c r="C68" s="357"/>
      <c r="D68" s="779"/>
      <c r="E68" s="358"/>
      <c r="F68" s="358"/>
      <c r="G68" s="359"/>
      <c r="H68" s="45" t="s">
        <v>83</v>
      </c>
    </row>
    <row r="69" spans="1:8" ht="13.9" x14ac:dyDescent="0.25">
      <c r="A69" s="359"/>
      <c r="B69" s="359"/>
      <c r="C69" s="357"/>
      <c r="D69" s="779"/>
      <c r="E69" s="358"/>
      <c r="F69" s="358"/>
      <c r="G69" s="359"/>
      <c r="H69" s="45" t="s">
        <v>1517</v>
      </c>
    </row>
    <row r="70" spans="1:8" ht="13.15" x14ac:dyDescent="0.3">
      <c r="A70" s="359"/>
      <c r="B70" s="359"/>
      <c r="C70" s="357"/>
      <c r="D70" s="779"/>
      <c r="E70" s="358"/>
      <c r="F70" s="358"/>
      <c r="G70" s="359"/>
      <c r="H70" s="362"/>
    </row>
    <row r="72" spans="1:8" ht="13.15" x14ac:dyDescent="0.3">
      <c r="A72" s="378"/>
    </row>
    <row r="73" spans="1:8" ht="13.15" x14ac:dyDescent="0.3">
      <c r="A73" s="378"/>
      <c r="H73" s="389"/>
    </row>
    <row r="74" spans="1:8" ht="13.15" x14ac:dyDescent="0.3">
      <c r="A74" s="378"/>
    </row>
    <row r="75" spans="1:8" ht="13.15" x14ac:dyDescent="0.3">
      <c r="A75" s="378"/>
      <c r="H75" s="389"/>
    </row>
    <row r="76" spans="1:8" ht="13.15" x14ac:dyDescent="0.3">
      <c r="A76" s="378"/>
    </row>
    <row r="77" spans="1:8" x14ac:dyDescent="0.25">
      <c r="A77" s="378"/>
      <c r="H77" s="389"/>
    </row>
    <row r="78" spans="1:8" x14ac:dyDescent="0.25">
      <c r="A78" s="378"/>
    </row>
    <row r="79" spans="1:8" x14ac:dyDescent="0.25">
      <c r="A79" s="378"/>
    </row>
    <row r="80" spans="1:8" x14ac:dyDescent="0.25">
      <c r="A80" s="378"/>
      <c r="H80" s="389"/>
    </row>
    <row r="81" spans="1:13" x14ac:dyDescent="0.25">
      <c r="A81" s="378"/>
      <c r="I81" s="374"/>
      <c r="J81" s="374"/>
      <c r="K81" s="374"/>
      <c r="L81" s="374"/>
      <c r="M81" s="374"/>
    </row>
    <row r="82" spans="1:13" x14ac:dyDescent="0.25">
      <c r="A82" s="378"/>
      <c r="H82" s="389"/>
      <c r="I82" s="374"/>
      <c r="J82" s="374"/>
      <c r="K82" s="374"/>
      <c r="L82" s="374"/>
      <c r="M82" s="374"/>
    </row>
    <row r="83" spans="1:13" x14ac:dyDescent="0.25">
      <c r="A83" s="378"/>
      <c r="I83" s="374"/>
      <c r="J83" s="374"/>
      <c r="K83" s="374"/>
      <c r="L83" s="374"/>
      <c r="M83" s="374"/>
    </row>
    <row r="84" spans="1:13" x14ac:dyDescent="0.25">
      <c r="A84" s="378"/>
      <c r="I84" s="374"/>
      <c r="J84" s="374"/>
      <c r="K84" s="374"/>
      <c r="L84" s="374"/>
      <c r="M84" s="374"/>
    </row>
    <row r="85" spans="1:13" x14ac:dyDescent="0.25">
      <c r="A85" s="378"/>
      <c r="H85" s="389"/>
      <c r="I85" s="374"/>
      <c r="J85" s="374"/>
      <c r="K85" s="374"/>
      <c r="L85" s="374"/>
      <c r="M85" s="374"/>
    </row>
    <row r="86" spans="1:13" x14ac:dyDescent="0.25">
      <c r="A86" s="378"/>
      <c r="B86" s="363"/>
      <c r="H86" s="389"/>
      <c r="I86" s="374"/>
      <c r="J86" s="374"/>
      <c r="K86" s="374"/>
      <c r="L86" s="374"/>
      <c r="M86" s="374"/>
    </row>
    <row r="87" spans="1:13" x14ac:dyDescent="0.25">
      <c r="A87" s="378"/>
      <c r="H87" s="389"/>
      <c r="I87" s="374"/>
      <c r="J87" s="374"/>
      <c r="K87" s="374"/>
      <c r="L87" s="374"/>
      <c r="M87" s="374"/>
    </row>
    <row r="88" spans="1:13" x14ac:dyDescent="0.25">
      <c r="A88" s="378"/>
      <c r="H88" s="389"/>
      <c r="I88" s="374"/>
      <c r="J88" s="374"/>
      <c r="K88" s="374"/>
      <c r="L88" s="374"/>
      <c r="M88" s="374"/>
    </row>
    <row r="89" spans="1:13" x14ac:dyDescent="0.25">
      <c r="A89" s="378"/>
      <c r="H89" s="389"/>
      <c r="I89" s="374"/>
      <c r="J89" s="374"/>
      <c r="K89" s="374"/>
      <c r="L89" s="374"/>
      <c r="M89" s="374"/>
    </row>
    <row r="90" spans="1:13" x14ac:dyDescent="0.25">
      <c r="A90" s="378"/>
      <c r="H90" s="389"/>
      <c r="I90" s="374"/>
      <c r="J90" s="374"/>
      <c r="K90" s="374"/>
      <c r="L90" s="374"/>
      <c r="M90" s="374"/>
    </row>
    <row r="91" spans="1:13" x14ac:dyDescent="0.25">
      <c r="A91" s="378"/>
      <c r="H91" s="389"/>
      <c r="I91" s="374"/>
      <c r="J91" s="374"/>
      <c r="K91" s="374"/>
      <c r="L91" s="374"/>
      <c r="M91" s="374"/>
    </row>
    <row r="92" spans="1:13" x14ac:dyDescent="0.25">
      <c r="A92" s="378"/>
      <c r="H92" s="389"/>
      <c r="I92" s="374"/>
      <c r="J92" s="374"/>
      <c r="K92" s="374"/>
      <c r="L92" s="374"/>
      <c r="M92" s="374"/>
    </row>
    <row r="93" spans="1:13" x14ac:dyDescent="0.25">
      <c r="A93" s="376"/>
      <c r="D93" s="786"/>
      <c r="E93" s="380"/>
      <c r="F93" s="380"/>
      <c r="G93" s="374"/>
      <c r="I93" s="374"/>
      <c r="J93" s="374"/>
      <c r="K93" s="374"/>
      <c r="L93" s="374"/>
      <c r="M93" s="374"/>
    </row>
    <row r="94" spans="1:13" x14ac:dyDescent="0.25">
      <c r="A94" s="376"/>
      <c r="D94" s="786"/>
      <c r="E94" s="380"/>
      <c r="F94" s="380"/>
      <c r="G94" s="374"/>
      <c r="I94" s="374"/>
      <c r="J94" s="374"/>
      <c r="K94" s="374"/>
      <c r="L94" s="374"/>
      <c r="M94" s="374"/>
    </row>
    <row r="95" spans="1:13" x14ac:dyDescent="0.25">
      <c r="D95" s="786"/>
      <c r="E95" s="380"/>
      <c r="F95" s="380"/>
      <c r="G95" s="374"/>
      <c r="I95" s="374"/>
      <c r="J95" s="374"/>
      <c r="K95" s="374"/>
      <c r="L95" s="374"/>
      <c r="M95" s="374"/>
    </row>
    <row r="96" spans="1:13" x14ac:dyDescent="0.25">
      <c r="D96" s="786"/>
      <c r="E96" s="380"/>
      <c r="F96" s="380"/>
      <c r="G96" s="374"/>
      <c r="I96" s="374"/>
      <c r="J96" s="374"/>
      <c r="K96" s="374"/>
      <c r="L96" s="374"/>
      <c r="M96" s="374"/>
    </row>
    <row r="97" spans="1:13" x14ac:dyDescent="0.25">
      <c r="A97" s="376"/>
      <c r="D97" s="786"/>
      <c r="E97" s="380"/>
      <c r="F97" s="380"/>
      <c r="G97" s="374"/>
      <c r="I97" s="374"/>
      <c r="J97" s="374"/>
      <c r="K97" s="374"/>
      <c r="L97" s="374"/>
      <c r="M97" s="374"/>
    </row>
    <row r="98" spans="1:13" x14ac:dyDescent="0.25">
      <c r="A98" s="376"/>
      <c r="D98" s="786"/>
      <c r="E98" s="380"/>
      <c r="F98" s="380"/>
      <c r="G98" s="374"/>
      <c r="I98" s="374"/>
      <c r="J98" s="374"/>
      <c r="K98" s="374"/>
      <c r="L98" s="374"/>
      <c r="M98" s="374"/>
    </row>
    <row r="99" spans="1:13" x14ac:dyDescent="0.25">
      <c r="A99" s="376"/>
      <c r="D99" s="786"/>
      <c r="E99" s="380"/>
      <c r="F99" s="380"/>
      <c r="G99" s="374"/>
      <c r="I99" s="374"/>
      <c r="J99" s="374"/>
      <c r="K99" s="374"/>
      <c r="L99" s="374"/>
      <c r="M99" s="374"/>
    </row>
    <row r="100" spans="1:13" x14ac:dyDescent="0.25">
      <c r="A100" s="376"/>
      <c r="D100" s="786"/>
      <c r="E100" s="380"/>
      <c r="F100" s="380"/>
      <c r="G100" s="374"/>
      <c r="I100" s="374"/>
      <c r="J100" s="374"/>
      <c r="K100" s="374"/>
      <c r="L100" s="374"/>
      <c r="M100" s="374"/>
    </row>
    <row r="101" spans="1:13" x14ac:dyDescent="0.25">
      <c r="A101" s="376"/>
      <c r="D101" s="786"/>
      <c r="E101" s="380"/>
      <c r="F101" s="380"/>
      <c r="G101" s="374"/>
      <c r="I101" s="374"/>
      <c r="J101" s="374"/>
      <c r="K101" s="374"/>
      <c r="L101" s="374"/>
      <c r="M101" s="374"/>
    </row>
    <row r="102" spans="1:13" x14ac:dyDescent="0.25">
      <c r="A102" s="376"/>
      <c r="D102" s="786"/>
      <c r="E102" s="380"/>
      <c r="F102" s="380"/>
      <c r="G102" s="374"/>
      <c r="I102" s="374"/>
      <c r="J102" s="374"/>
      <c r="K102" s="374"/>
      <c r="L102" s="374"/>
      <c r="M102" s="374"/>
    </row>
    <row r="103" spans="1:13" x14ac:dyDescent="0.25">
      <c r="A103" s="376"/>
      <c r="D103" s="786"/>
      <c r="E103" s="380"/>
      <c r="F103" s="380"/>
      <c r="G103" s="374"/>
      <c r="I103" s="374"/>
      <c r="J103" s="374"/>
      <c r="K103" s="374"/>
      <c r="L103" s="374"/>
      <c r="M103" s="374"/>
    </row>
    <row r="104" spans="1:13" x14ac:dyDescent="0.25">
      <c r="A104" s="376"/>
      <c r="D104" s="786"/>
      <c r="E104" s="380"/>
      <c r="F104" s="380"/>
      <c r="G104" s="374"/>
      <c r="I104" s="374"/>
      <c r="J104" s="374"/>
      <c r="K104" s="374"/>
      <c r="L104" s="374"/>
      <c r="M104" s="374"/>
    </row>
    <row r="105" spans="1:13" x14ac:dyDescent="0.25">
      <c r="A105" s="376"/>
      <c r="D105" s="786"/>
      <c r="E105" s="380"/>
      <c r="F105" s="380"/>
      <c r="G105" s="374"/>
      <c r="I105" s="374"/>
      <c r="J105" s="374"/>
      <c r="K105" s="374"/>
      <c r="L105" s="374"/>
      <c r="M105" s="374"/>
    </row>
    <row r="106" spans="1:13" x14ac:dyDescent="0.25">
      <c r="A106" s="376"/>
      <c r="D106" s="786"/>
      <c r="E106" s="380"/>
      <c r="F106" s="380"/>
      <c r="G106" s="374"/>
      <c r="I106" s="374"/>
      <c r="J106" s="374"/>
      <c r="K106" s="374"/>
      <c r="L106" s="374"/>
      <c r="M106" s="374"/>
    </row>
    <row r="107" spans="1:13" x14ac:dyDescent="0.25">
      <c r="A107" s="376"/>
      <c r="D107" s="786"/>
      <c r="E107" s="380"/>
      <c r="F107" s="380"/>
      <c r="G107" s="374"/>
      <c r="I107" s="374"/>
      <c r="J107" s="374"/>
      <c r="K107" s="374"/>
      <c r="L107" s="374"/>
      <c r="M107" s="374"/>
    </row>
    <row r="108" spans="1:13" x14ac:dyDescent="0.25">
      <c r="A108" s="376"/>
      <c r="D108" s="786"/>
      <c r="E108" s="380"/>
      <c r="F108" s="380"/>
      <c r="G108" s="374"/>
      <c r="I108" s="374"/>
      <c r="J108" s="374"/>
      <c r="K108" s="374"/>
      <c r="L108" s="374"/>
      <c r="M108" s="374"/>
    </row>
    <row r="109" spans="1:13" x14ac:dyDescent="0.25">
      <c r="A109" s="376"/>
      <c r="D109" s="786"/>
      <c r="E109" s="380"/>
      <c r="F109" s="380"/>
      <c r="G109" s="374"/>
      <c r="I109" s="374"/>
      <c r="J109" s="374"/>
      <c r="K109" s="374"/>
      <c r="L109" s="374"/>
      <c r="M109" s="374"/>
    </row>
    <row r="110" spans="1:13" x14ac:dyDescent="0.25">
      <c r="A110" s="376"/>
      <c r="D110" s="786"/>
      <c r="E110" s="380"/>
      <c r="F110" s="380"/>
      <c r="G110" s="374"/>
      <c r="I110" s="374"/>
      <c r="J110" s="374"/>
      <c r="K110" s="374"/>
      <c r="L110" s="374"/>
      <c r="M110" s="374"/>
    </row>
    <row r="111" spans="1:13" x14ac:dyDescent="0.25">
      <c r="A111" s="376"/>
      <c r="D111" s="786"/>
      <c r="E111" s="380"/>
      <c r="F111" s="380"/>
      <c r="G111" s="374"/>
      <c r="I111" s="374"/>
      <c r="J111" s="374"/>
      <c r="K111" s="374"/>
      <c r="L111" s="374"/>
      <c r="M111" s="374"/>
    </row>
    <row r="112" spans="1:13" x14ac:dyDescent="0.25">
      <c r="A112" s="376"/>
      <c r="D112" s="786"/>
      <c r="E112" s="380"/>
      <c r="F112" s="380"/>
      <c r="G112" s="374"/>
      <c r="I112" s="374"/>
      <c r="J112" s="374"/>
      <c r="K112" s="374"/>
      <c r="L112" s="374"/>
      <c r="M112" s="374"/>
    </row>
    <row r="113" spans="1:14" x14ac:dyDescent="0.25">
      <c r="D113" s="786"/>
      <c r="E113" s="380"/>
      <c r="F113" s="380"/>
      <c r="G113" s="374"/>
      <c r="I113" s="374"/>
      <c r="J113" s="374"/>
      <c r="K113" s="374"/>
      <c r="L113" s="374"/>
      <c r="M113" s="374"/>
    </row>
    <row r="114" spans="1:14" x14ac:dyDescent="0.25">
      <c r="D114" s="786"/>
      <c r="E114" s="380"/>
      <c r="F114" s="380"/>
      <c r="G114" s="374"/>
      <c r="I114" s="374"/>
      <c r="J114" s="374"/>
      <c r="K114" s="374"/>
      <c r="L114" s="374"/>
      <c r="M114" s="374"/>
    </row>
    <row r="115" spans="1:14" x14ac:dyDescent="0.25">
      <c r="D115" s="786"/>
      <c r="E115" s="380"/>
      <c r="F115" s="380"/>
      <c r="G115" s="374"/>
      <c r="I115" s="374"/>
      <c r="J115" s="374"/>
      <c r="K115" s="374"/>
      <c r="L115" s="374"/>
      <c r="M115" s="374"/>
    </row>
    <row r="116" spans="1:14" x14ac:dyDescent="0.25">
      <c r="A116" s="376"/>
      <c r="D116" s="786"/>
      <c r="E116" s="380"/>
      <c r="F116" s="380"/>
      <c r="G116" s="374"/>
      <c r="I116" s="374"/>
      <c r="J116" s="374"/>
      <c r="K116" s="374"/>
      <c r="L116" s="374"/>
      <c r="M116" s="374"/>
    </row>
    <row r="117" spans="1:14" x14ac:dyDescent="0.25">
      <c r="A117" s="376"/>
      <c r="D117" s="786"/>
      <c r="E117" s="380"/>
      <c r="F117" s="380"/>
      <c r="G117" s="374"/>
      <c r="I117" s="374"/>
      <c r="J117" s="374"/>
      <c r="K117" s="374"/>
      <c r="L117" s="374"/>
      <c r="M117" s="374"/>
    </row>
    <row r="118" spans="1:14" x14ac:dyDescent="0.25">
      <c r="A118" s="376"/>
      <c r="D118" s="786"/>
      <c r="E118" s="380"/>
      <c r="F118" s="380"/>
      <c r="G118" s="374"/>
      <c r="I118" s="374"/>
      <c r="J118" s="374"/>
      <c r="K118" s="374"/>
      <c r="L118" s="374"/>
      <c r="M118" s="374"/>
    </row>
    <row r="119" spans="1:14" x14ac:dyDescent="0.25">
      <c r="A119" s="376"/>
      <c r="D119" s="786"/>
      <c r="E119" s="380"/>
      <c r="F119" s="380"/>
      <c r="G119" s="374"/>
      <c r="I119" s="374"/>
      <c r="J119" s="374"/>
      <c r="K119" s="374"/>
      <c r="L119" s="374"/>
      <c r="M119" s="374"/>
    </row>
    <row r="120" spans="1:14" x14ac:dyDescent="0.25">
      <c r="A120" s="376"/>
      <c r="D120" s="786"/>
      <c r="E120" s="380"/>
      <c r="F120" s="380"/>
      <c r="G120" s="374"/>
      <c r="I120" s="374"/>
      <c r="J120" s="374"/>
      <c r="K120" s="374"/>
      <c r="L120" s="374"/>
      <c r="M120" s="374"/>
    </row>
    <row r="121" spans="1:14" x14ac:dyDescent="0.25">
      <c r="A121" s="376"/>
      <c r="D121" s="786"/>
      <c r="E121" s="380"/>
      <c r="F121" s="380"/>
      <c r="G121" s="374"/>
      <c r="I121" s="374"/>
      <c r="J121" s="374"/>
      <c r="K121" s="374"/>
      <c r="L121" s="374"/>
      <c r="M121" s="374"/>
    </row>
    <row r="122" spans="1:14" x14ac:dyDescent="0.25">
      <c r="A122" s="376"/>
      <c r="D122" s="786"/>
      <c r="E122" s="380"/>
      <c r="F122" s="380"/>
      <c r="G122" s="374"/>
      <c r="I122" s="374"/>
      <c r="J122" s="374"/>
      <c r="K122" s="374"/>
      <c r="L122" s="374"/>
      <c r="M122" s="374"/>
    </row>
    <row r="123" spans="1:14" x14ac:dyDescent="0.25">
      <c r="A123" s="376"/>
      <c r="D123" s="786"/>
      <c r="E123" s="380"/>
      <c r="F123" s="380"/>
      <c r="G123" s="374"/>
      <c r="I123" s="374"/>
      <c r="J123" s="374"/>
      <c r="K123" s="374"/>
      <c r="L123" s="374"/>
      <c r="M123" s="374"/>
    </row>
    <row r="124" spans="1:14" x14ac:dyDescent="0.25">
      <c r="D124" s="786"/>
      <c r="E124" s="380"/>
      <c r="F124" s="380"/>
      <c r="G124" s="374"/>
      <c r="I124" s="374"/>
      <c r="J124" s="374"/>
      <c r="K124" s="374"/>
      <c r="L124" s="374"/>
      <c r="M124" s="374"/>
    </row>
    <row r="125" spans="1:14" x14ac:dyDescent="0.25">
      <c r="C125" s="381"/>
      <c r="D125" s="787"/>
      <c r="E125" s="382"/>
    </row>
    <row r="126" spans="1:14" s="375" customFormat="1" x14ac:dyDescent="0.25">
      <c r="A126" s="376"/>
      <c r="B126" s="360"/>
      <c r="C126" s="381"/>
      <c r="D126" s="787"/>
      <c r="E126" s="382"/>
      <c r="G126" s="360"/>
      <c r="H126" s="373"/>
      <c r="I126" s="360"/>
      <c r="J126" s="360"/>
      <c r="K126" s="360"/>
      <c r="L126" s="360"/>
      <c r="M126" s="360"/>
      <c r="N126" s="360"/>
    </row>
    <row r="127" spans="1:14" s="375" customFormat="1" x14ac:dyDescent="0.25">
      <c r="A127" s="376"/>
      <c r="B127" s="360"/>
      <c r="C127" s="381"/>
      <c r="D127" s="787"/>
      <c r="E127" s="382"/>
      <c r="G127" s="360"/>
      <c r="H127" s="373"/>
      <c r="I127" s="360"/>
      <c r="J127" s="360"/>
      <c r="K127" s="360"/>
      <c r="L127" s="360"/>
      <c r="M127" s="360"/>
      <c r="N127" s="360"/>
    </row>
    <row r="128" spans="1:14" s="375" customFormat="1" x14ac:dyDescent="0.25">
      <c r="A128" s="376"/>
      <c r="B128" s="360"/>
      <c r="C128" s="381"/>
      <c r="D128" s="787"/>
      <c r="E128" s="382"/>
      <c r="G128" s="360"/>
      <c r="H128" s="373"/>
      <c r="I128" s="360"/>
      <c r="J128" s="360"/>
      <c r="K128" s="360"/>
      <c r="L128" s="360"/>
      <c r="M128" s="360"/>
      <c r="N128" s="360"/>
    </row>
    <row r="129" spans="1:14" s="375" customFormat="1" x14ac:dyDescent="0.25">
      <c r="A129" s="376"/>
      <c r="B129" s="360"/>
      <c r="C129" s="381"/>
      <c r="D129" s="787"/>
      <c r="E129" s="382"/>
      <c r="G129" s="360"/>
      <c r="H129" s="373"/>
      <c r="I129" s="360"/>
      <c r="J129" s="360"/>
      <c r="K129" s="360"/>
      <c r="L129" s="360"/>
      <c r="M129" s="360"/>
      <c r="N129" s="360"/>
    </row>
    <row r="130" spans="1:14" s="375" customFormat="1" x14ac:dyDescent="0.25">
      <c r="A130" s="376"/>
      <c r="B130" s="360"/>
      <c r="C130" s="381"/>
      <c r="D130" s="787"/>
      <c r="E130" s="382"/>
      <c r="G130" s="360"/>
      <c r="H130" s="373"/>
      <c r="I130" s="360"/>
      <c r="J130" s="360"/>
      <c r="K130" s="360"/>
      <c r="L130" s="360"/>
      <c r="M130" s="360"/>
      <c r="N130" s="360"/>
    </row>
    <row r="131" spans="1:14" s="375" customFormat="1" x14ac:dyDescent="0.25">
      <c r="A131" s="376"/>
      <c r="B131" s="360"/>
      <c r="C131" s="381"/>
      <c r="D131" s="787"/>
      <c r="E131" s="382"/>
      <c r="G131" s="360"/>
      <c r="H131" s="373"/>
      <c r="I131" s="360"/>
      <c r="J131" s="360"/>
      <c r="K131" s="360"/>
      <c r="L131" s="360"/>
      <c r="M131" s="360"/>
      <c r="N131" s="360"/>
    </row>
    <row r="132" spans="1:14" s="375" customFormat="1" x14ac:dyDescent="0.25">
      <c r="A132" s="376"/>
      <c r="B132" s="360"/>
      <c r="C132" s="374"/>
      <c r="D132" s="787"/>
      <c r="E132" s="382"/>
      <c r="G132" s="360"/>
      <c r="H132" s="373"/>
      <c r="I132" s="360"/>
      <c r="J132" s="360"/>
      <c r="K132" s="360"/>
      <c r="L132" s="360"/>
      <c r="M132" s="360"/>
      <c r="N132" s="360"/>
    </row>
    <row r="133" spans="1:14" s="375" customFormat="1" x14ac:dyDescent="0.25">
      <c r="A133" s="376"/>
      <c r="B133" s="360"/>
      <c r="C133" s="374"/>
      <c r="D133" s="787"/>
      <c r="E133" s="382"/>
      <c r="G133" s="360"/>
      <c r="H133" s="373"/>
      <c r="I133" s="360"/>
      <c r="J133" s="360"/>
      <c r="K133" s="360"/>
      <c r="L133" s="360"/>
      <c r="M133" s="360"/>
      <c r="N133" s="360"/>
    </row>
    <row r="134" spans="1:14" s="375" customFormat="1" x14ac:dyDescent="0.25">
      <c r="A134" s="376"/>
      <c r="B134" s="360"/>
      <c r="C134" s="381"/>
      <c r="D134" s="787"/>
      <c r="E134" s="382"/>
      <c r="G134" s="360"/>
      <c r="H134" s="373"/>
      <c r="I134" s="360"/>
      <c r="J134" s="360"/>
      <c r="K134" s="360"/>
      <c r="L134" s="360"/>
      <c r="M134" s="360"/>
      <c r="N134" s="360"/>
    </row>
    <row r="135" spans="1:14" s="375" customFormat="1" x14ac:dyDescent="0.25">
      <c r="A135" s="376"/>
      <c r="B135" s="360"/>
      <c r="C135" s="381"/>
      <c r="D135" s="787"/>
      <c r="E135" s="382"/>
      <c r="G135" s="360"/>
      <c r="H135" s="373"/>
      <c r="I135" s="360"/>
      <c r="J135" s="360"/>
      <c r="K135" s="360"/>
      <c r="L135" s="360"/>
      <c r="M135" s="360"/>
      <c r="N135" s="360"/>
    </row>
    <row r="136" spans="1:14" s="375" customFormat="1" x14ac:dyDescent="0.25">
      <c r="A136" s="376"/>
      <c r="B136" s="360"/>
      <c r="C136" s="381"/>
      <c r="D136" s="787"/>
      <c r="E136" s="382"/>
      <c r="G136" s="360"/>
      <c r="H136" s="373"/>
      <c r="I136" s="360"/>
      <c r="J136" s="360"/>
      <c r="K136" s="360"/>
      <c r="L136" s="360"/>
      <c r="M136" s="360"/>
      <c r="N136" s="360"/>
    </row>
    <row r="137" spans="1:14" s="375" customFormat="1" x14ac:dyDescent="0.25">
      <c r="A137" s="376"/>
      <c r="B137" s="360"/>
      <c r="C137" s="381"/>
      <c r="D137" s="787"/>
      <c r="E137" s="382"/>
      <c r="G137" s="360"/>
      <c r="H137" s="373"/>
      <c r="I137" s="360"/>
      <c r="J137" s="360"/>
      <c r="K137" s="360"/>
      <c r="L137" s="360"/>
      <c r="M137" s="360"/>
      <c r="N137" s="360"/>
    </row>
    <row r="138" spans="1:14" s="375" customFormat="1" x14ac:dyDescent="0.25">
      <c r="A138" s="376"/>
      <c r="B138" s="360"/>
      <c r="C138" s="381"/>
      <c r="D138" s="787"/>
      <c r="E138" s="382"/>
      <c r="G138" s="360"/>
      <c r="H138" s="373"/>
      <c r="I138" s="360"/>
      <c r="J138" s="360"/>
      <c r="K138" s="360"/>
      <c r="L138" s="360"/>
      <c r="M138" s="360"/>
      <c r="N138" s="360"/>
    </row>
    <row r="139" spans="1:14" s="375" customFormat="1" x14ac:dyDescent="0.25">
      <c r="A139" s="376"/>
      <c r="B139" s="360"/>
      <c r="C139" s="381"/>
      <c r="D139" s="787"/>
      <c r="E139" s="382"/>
      <c r="G139" s="360"/>
      <c r="H139" s="373"/>
      <c r="I139" s="360"/>
      <c r="J139" s="360"/>
      <c r="K139" s="360"/>
      <c r="L139" s="360"/>
      <c r="M139" s="360"/>
      <c r="N139" s="360"/>
    </row>
    <row r="140" spans="1:14" s="375" customFormat="1" x14ac:dyDescent="0.25">
      <c r="A140" s="360"/>
      <c r="B140" s="360"/>
      <c r="C140" s="381"/>
      <c r="D140" s="787"/>
      <c r="E140" s="382"/>
      <c r="G140" s="360"/>
      <c r="H140" s="373"/>
      <c r="I140" s="360"/>
      <c r="J140" s="360"/>
      <c r="K140" s="360"/>
      <c r="L140" s="360"/>
      <c r="M140" s="360"/>
      <c r="N140" s="360"/>
    </row>
    <row r="141" spans="1:14" s="375" customFormat="1" x14ac:dyDescent="0.25">
      <c r="A141" s="360"/>
      <c r="B141" s="360"/>
      <c r="C141" s="381"/>
      <c r="D141" s="787"/>
      <c r="E141" s="382"/>
      <c r="G141" s="360"/>
      <c r="H141" s="373"/>
      <c r="I141" s="360"/>
      <c r="J141" s="360"/>
      <c r="K141" s="360"/>
      <c r="L141" s="360"/>
      <c r="M141" s="360"/>
      <c r="N141" s="360"/>
    </row>
    <row r="142" spans="1:14" x14ac:dyDescent="0.25">
      <c r="C142" s="381"/>
      <c r="D142" s="787"/>
      <c r="E142" s="382"/>
    </row>
    <row r="143" spans="1:14" x14ac:dyDescent="0.25">
      <c r="C143" s="381"/>
      <c r="D143" s="787"/>
      <c r="E143" s="382"/>
    </row>
    <row r="144" spans="1:14" x14ac:dyDescent="0.25">
      <c r="C144" s="381"/>
      <c r="D144" s="787"/>
      <c r="E144" s="382"/>
    </row>
    <row r="145" spans="1:13" x14ac:dyDescent="0.25">
      <c r="C145" s="381"/>
      <c r="D145" s="787"/>
      <c r="E145" s="382"/>
    </row>
    <row r="146" spans="1:13" x14ac:dyDescent="0.25">
      <c r="C146" s="381"/>
      <c r="D146" s="787"/>
      <c r="E146" s="382"/>
    </row>
    <row r="147" spans="1:13" x14ac:dyDescent="0.25">
      <c r="C147" s="381"/>
      <c r="D147" s="787"/>
      <c r="E147" s="382"/>
    </row>
    <row r="148" spans="1:13" x14ac:dyDescent="0.25">
      <c r="C148" s="381"/>
      <c r="D148" s="787"/>
      <c r="E148" s="382"/>
    </row>
    <row r="149" spans="1:13" x14ac:dyDescent="0.25">
      <c r="C149" s="381"/>
      <c r="D149" s="787"/>
      <c r="E149" s="382"/>
    </row>
    <row r="150" spans="1:13" x14ac:dyDescent="0.25">
      <c r="C150" s="381"/>
      <c r="D150" s="787"/>
      <c r="E150" s="382"/>
    </row>
    <row r="151" spans="1:13" x14ac:dyDescent="0.25">
      <c r="A151" s="383"/>
      <c r="C151" s="384"/>
      <c r="D151" s="786"/>
      <c r="E151" s="380"/>
      <c r="G151" s="385"/>
      <c r="H151" s="386"/>
      <c r="I151" s="385"/>
      <c r="J151" s="385"/>
      <c r="K151" s="385"/>
      <c r="L151" s="385"/>
      <c r="M151" s="385"/>
    </row>
    <row r="152" spans="1:13" x14ac:dyDescent="0.25">
      <c r="A152" s="383"/>
      <c r="B152" s="385"/>
      <c r="C152" s="384"/>
      <c r="D152" s="786"/>
      <c r="E152" s="380"/>
      <c r="F152" s="380"/>
      <c r="G152" s="387"/>
      <c r="H152" s="569"/>
      <c r="I152" s="387"/>
      <c r="J152" s="387"/>
      <c r="K152" s="387"/>
      <c r="L152" s="387"/>
      <c r="M152" s="387"/>
    </row>
    <row r="153" spans="1:13" x14ac:dyDescent="0.25">
      <c r="A153" s="383"/>
      <c r="B153" s="385"/>
      <c r="C153" s="384"/>
      <c r="G153" s="385"/>
      <c r="H153" s="386"/>
      <c r="I153" s="385"/>
      <c r="J153" s="385"/>
      <c r="K153" s="385"/>
      <c r="L153" s="385"/>
      <c r="M153" s="385"/>
    </row>
    <row r="154" spans="1:13" x14ac:dyDescent="0.25">
      <c r="A154" s="383"/>
      <c r="B154" s="385"/>
      <c r="C154" s="384"/>
      <c r="G154" s="385"/>
      <c r="H154" s="386"/>
      <c r="I154" s="385"/>
      <c r="J154" s="385"/>
      <c r="K154" s="385"/>
      <c r="L154" s="385"/>
      <c r="M154" s="385"/>
    </row>
    <row r="155" spans="1:13" x14ac:dyDescent="0.25">
      <c r="A155" s="383"/>
      <c r="C155" s="384"/>
      <c r="G155" s="385"/>
      <c r="H155" s="386"/>
      <c r="I155" s="385"/>
      <c r="J155" s="385"/>
      <c r="K155" s="385"/>
      <c r="L155" s="385"/>
      <c r="M155" s="385"/>
    </row>
    <row r="156" spans="1:13" x14ac:dyDescent="0.25">
      <c r="A156" s="383"/>
      <c r="C156" s="384"/>
      <c r="G156" s="385"/>
      <c r="H156" s="386"/>
      <c r="I156" s="385"/>
      <c r="J156" s="385"/>
      <c r="K156" s="385"/>
      <c r="L156" s="385"/>
      <c r="M156" s="385"/>
    </row>
    <row r="157" spans="1:13" x14ac:dyDescent="0.25">
      <c r="A157" s="383"/>
      <c r="B157" s="570"/>
      <c r="C157" s="384"/>
      <c r="G157" s="385"/>
      <c r="H157" s="386"/>
      <c r="I157" s="385"/>
      <c r="J157" s="385"/>
      <c r="K157" s="385"/>
      <c r="L157" s="385"/>
      <c r="M157" s="385"/>
    </row>
    <row r="158" spans="1:13" x14ac:dyDescent="0.25">
      <c r="A158" s="383"/>
      <c r="C158" s="384"/>
      <c r="G158" s="385"/>
      <c r="H158" s="386"/>
      <c r="I158" s="385"/>
      <c r="J158" s="385"/>
      <c r="K158" s="385"/>
      <c r="L158" s="385"/>
      <c r="M158" s="385"/>
    </row>
    <row r="159" spans="1:13" x14ac:dyDescent="0.25">
      <c r="A159" s="383"/>
      <c r="B159" s="385"/>
      <c r="C159" s="384"/>
      <c r="G159" s="385"/>
      <c r="H159" s="386"/>
      <c r="I159" s="385"/>
      <c r="J159" s="385"/>
      <c r="K159" s="385"/>
      <c r="L159" s="385"/>
      <c r="M159" s="385"/>
    </row>
    <row r="160" spans="1:13" x14ac:dyDescent="0.25">
      <c r="A160" s="383"/>
      <c r="B160" s="385"/>
      <c r="C160" s="384"/>
      <c r="G160" s="385"/>
      <c r="H160" s="386"/>
      <c r="I160" s="385"/>
      <c r="J160" s="385"/>
      <c r="K160" s="385"/>
      <c r="L160" s="385"/>
      <c r="M160" s="385"/>
    </row>
    <row r="161" spans="1:13" x14ac:dyDescent="0.25">
      <c r="A161" s="383"/>
      <c r="B161" s="385"/>
      <c r="C161" s="384"/>
      <c r="G161" s="385"/>
      <c r="H161" s="386"/>
      <c r="I161" s="385"/>
      <c r="J161" s="385"/>
      <c r="K161" s="385"/>
      <c r="L161" s="385"/>
      <c r="M161" s="385"/>
    </row>
    <row r="162" spans="1:13" x14ac:dyDescent="0.25">
      <c r="A162" s="383"/>
      <c r="B162" s="385"/>
      <c r="C162" s="384"/>
      <c r="G162" s="385"/>
      <c r="H162" s="386"/>
      <c r="I162" s="385"/>
      <c r="J162" s="385"/>
      <c r="K162" s="385"/>
      <c r="L162" s="385"/>
      <c r="M162" s="385"/>
    </row>
    <row r="163" spans="1:13" x14ac:dyDescent="0.25">
      <c r="A163" s="383"/>
      <c r="B163" s="385"/>
      <c r="C163" s="384"/>
      <c r="G163" s="385"/>
      <c r="H163" s="386"/>
      <c r="I163" s="385"/>
      <c r="J163" s="385"/>
      <c r="K163" s="385"/>
      <c r="L163" s="385"/>
      <c r="M163" s="385"/>
    </row>
    <row r="164" spans="1:13" x14ac:dyDescent="0.25">
      <c r="A164" s="383"/>
      <c r="B164" s="385"/>
      <c r="C164" s="384"/>
      <c r="G164" s="385"/>
      <c r="H164" s="386"/>
      <c r="I164" s="385"/>
      <c r="J164" s="385"/>
      <c r="K164" s="385"/>
      <c r="L164" s="385"/>
      <c r="M164" s="385"/>
    </row>
    <row r="165" spans="1:13" x14ac:dyDescent="0.25">
      <c r="C165" s="384"/>
      <c r="G165" s="385"/>
      <c r="H165" s="386"/>
      <c r="I165" s="385"/>
      <c r="J165" s="385"/>
      <c r="K165" s="385"/>
      <c r="L165" s="385"/>
      <c r="M165" s="385"/>
    </row>
    <row r="166" spans="1:13" x14ac:dyDescent="0.25">
      <c r="B166" s="385"/>
      <c r="C166" s="384"/>
      <c r="G166" s="385"/>
      <c r="H166" s="386"/>
      <c r="I166" s="385"/>
      <c r="J166" s="385"/>
      <c r="K166" s="385"/>
      <c r="L166" s="385"/>
      <c r="M166" s="385"/>
    </row>
    <row r="167" spans="1:13" x14ac:dyDescent="0.25">
      <c r="B167" s="385"/>
      <c r="C167" s="384"/>
      <c r="G167" s="385"/>
      <c r="H167" s="386"/>
      <c r="I167" s="385"/>
      <c r="J167" s="385"/>
      <c r="K167" s="385"/>
      <c r="L167" s="385"/>
      <c r="M167" s="385"/>
    </row>
    <row r="168" spans="1:13" x14ac:dyDescent="0.25">
      <c r="B168" s="385"/>
      <c r="C168" s="384"/>
      <c r="G168" s="385"/>
      <c r="H168" s="386"/>
      <c r="I168" s="385"/>
      <c r="J168" s="385"/>
      <c r="K168" s="385"/>
      <c r="L168" s="385"/>
      <c r="M168" s="385"/>
    </row>
    <row r="169" spans="1:13" x14ac:dyDescent="0.25">
      <c r="B169" s="570"/>
      <c r="C169" s="384"/>
      <c r="G169" s="385"/>
      <c r="H169" s="386"/>
      <c r="I169" s="385"/>
      <c r="J169" s="385"/>
      <c r="K169" s="385"/>
      <c r="L169" s="385"/>
      <c r="M169" s="385"/>
    </row>
    <row r="170" spans="1:13" x14ac:dyDescent="0.25">
      <c r="B170" s="385"/>
      <c r="C170" s="384"/>
      <c r="G170" s="385"/>
      <c r="H170" s="386"/>
      <c r="I170" s="385"/>
      <c r="J170" s="385"/>
      <c r="K170" s="385"/>
      <c r="L170" s="385"/>
      <c r="M170" s="385"/>
    </row>
    <row r="171" spans="1:13" x14ac:dyDescent="0.25">
      <c r="B171" s="385"/>
      <c r="C171" s="384"/>
      <c r="G171" s="385"/>
      <c r="H171" s="386"/>
      <c r="I171" s="385"/>
      <c r="J171" s="385"/>
      <c r="K171" s="385"/>
      <c r="L171" s="385"/>
      <c r="M171" s="385"/>
    </row>
    <row r="172" spans="1:13" x14ac:dyDescent="0.25">
      <c r="B172" s="385"/>
      <c r="C172" s="384"/>
      <c r="G172" s="385"/>
      <c r="H172" s="386"/>
      <c r="I172" s="385"/>
      <c r="J172" s="385"/>
      <c r="K172" s="385"/>
      <c r="L172" s="385"/>
      <c r="M172" s="385"/>
    </row>
    <row r="173" spans="1:13" x14ac:dyDescent="0.25">
      <c r="B173" s="385"/>
      <c r="C173" s="384"/>
      <c r="G173" s="385"/>
      <c r="H173" s="386"/>
      <c r="I173" s="385"/>
      <c r="J173" s="385"/>
      <c r="K173" s="385"/>
      <c r="L173" s="385"/>
      <c r="M173" s="385"/>
    </row>
    <row r="174" spans="1:13" x14ac:dyDescent="0.25">
      <c r="B174" s="385"/>
      <c r="C174" s="384"/>
      <c r="G174" s="385"/>
      <c r="H174" s="386"/>
      <c r="I174" s="385"/>
      <c r="J174" s="385"/>
      <c r="K174" s="385"/>
      <c r="L174" s="385"/>
      <c r="M174" s="385"/>
    </row>
    <row r="175" spans="1:13" x14ac:dyDescent="0.25">
      <c r="B175" s="385"/>
      <c r="C175" s="384"/>
      <c r="G175" s="385"/>
      <c r="H175" s="386"/>
      <c r="I175" s="385"/>
      <c r="J175" s="385"/>
      <c r="K175" s="385"/>
      <c r="L175" s="385"/>
      <c r="M175" s="385"/>
    </row>
    <row r="176" spans="1:13" x14ac:dyDescent="0.25">
      <c r="B176" s="385"/>
      <c r="C176" s="384"/>
      <c r="G176" s="385"/>
      <c r="H176" s="386"/>
      <c r="I176" s="385"/>
      <c r="J176" s="385"/>
      <c r="K176" s="385"/>
      <c r="L176" s="385"/>
      <c r="M176" s="385"/>
    </row>
    <row r="177" spans="2:13" x14ac:dyDescent="0.25">
      <c r="B177" s="385"/>
      <c r="C177" s="384"/>
      <c r="G177" s="385"/>
      <c r="H177" s="386"/>
      <c r="I177" s="385"/>
      <c r="J177" s="385"/>
      <c r="K177" s="385"/>
      <c r="L177" s="385"/>
      <c r="M177" s="385"/>
    </row>
    <row r="178" spans="2:13" x14ac:dyDescent="0.25">
      <c r="B178" s="379"/>
      <c r="C178" s="384"/>
      <c r="G178" s="385"/>
      <c r="H178" s="386"/>
      <c r="I178" s="385"/>
      <c r="J178" s="385"/>
      <c r="K178" s="385"/>
      <c r="L178" s="385"/>
      <c r="M178" s="385"/>
    </row>
    <row r="179" spans="2:13" x14ac:dyDescent="0.25">
      <c r="C179" s="384"/>
      <c r="G179" s="385"/>
      <c r="H179" s="386"/>
      <c r="I179" s="385"/>
      <c r="J179" s="385"/>
      <c r="K179" s="385"/>
      <c r="L179" s="385"/>
      <c r="M179" s="385"/>
    </row>
    <row r="180" spans="2:13" x14ac:dyDescent="0.25">
      <c r="B180" s="379"/>
      <c r="C180" s="384"/>
      <c r="G180" s="385"/>
      <c r="H180" s="386"/>
      <c r="I180" s="385"/>
      <c r="J180" s="385"/>
      <c r="K180" s="385"/>
      <c r="L180" s="385"/>
      <c r="M180" s="385"/>
    </row>
    <row r="181" spans="2:13" x14ac:dyDescent="0.25">
      <c r="C181" s="384"/>
      <c r="G181" s="385"/>
      <c r="H181" s="386"/>
      <c r="I181" s="385"/>
      <c r="J181" s="385"/>
      <c r="K181" s="385"/>
      <c r="L181" s="385"/>
      <c r="M181" s="385"/>
    </row>
    <row r="182" spans="2:13" x14ac:dyDescent="0.25">
      <c r="B182" s="385"/>
      <c r="C182" s="384"/>
      <c r="G182" s="385"/>
      <c r="H182" s="386"/>
      <c r="I182" s="385"/>
      <c r="J182" s="385"/>
      <c r="K182" s="385"/>
      <c r="L182" s="385"/>
      <c r="M182" s="385"/>
    </row>
    <row r="183" spans="2:13" x14ac:dyDescent="0.25">
      <c r="B183" s="385"/>
      <c r="C183" s="384"/>
      <c r="G183" s="385"/>
      <c r="H183" s="386"/>
      <c r="I183" s="385"/>
      <c r="J183" s="385"/>
      <c r="K183" s="385"/>
      <c r="L183" s="385"/>
      <c r="M183" s="385"/>
    </row>
    <row r="184" spans="2:13" x14ac:dyDescent="0.25">
      <c r="B184" s="385"/>
      <c r="C184" s="384"/>
      <c r="G184" s="385"/>
      <c r="H184" s="386"/>
      <c r="I184" s="385"/>
      <c r="J184" s="385"/>
      <c r="K184" s="385"/>
      <c r="L184" s="385"/>
      <c r="M184" s="385"/>
    </row>
    <row r="185" spans="2:13" x14ac:dyDescent="0.25">
      <c r="B185" s="379"/>
      <c r="C185" s="384"/>
      <c r="G185" s="385"/>
      <c r="H185" s="386"/>
      <c r="I185" s="385"/>
      <c r="J185" s="385"/>
      <c r="K185" s="385"/>
      <c r="L185" s="385"/>
      <c r="M185" s="385"/>
    </row>
    <row r="186" spans="2:13" x14ac:dyDescent="0.25">
      <c r="C186" s="384"/>
      <c r="G186" s="385"/>
      <c r="H186" s="386"/>
      <c r="I186" s="385"/>
      <c r="J186" s="385"/>
      <c r="K186" s="385"/>
      <c r="L186" s="385"/>
      <c r="M186" s="385"/>
    </row>
    <row r="187" spans="2:13" x14ac:dyDescent="0.25">
      <c r="B187" s="385"/>
      <c r="C187" s="384"/>
      <c r="G187" s="385"/>
      <c r="H187" s="386"/>
      <c r="I187" s="385"/>
      <c r="J187" s="385"/>
      <c r="K187" s="385"/>
      <c r="L187" s="385"/>
      <c r="M187" s="385"/>
    </row>
    <row r="188" spans="2:13" x14ac:dyDescent="0.25">
      <c r="B188" s="385"/>
      <c r="C188" s="384"/>
      <c r="G188" s="385"/>
      <c r="H188" s="386"/>
      <c r="I188" s="385"/>
      <c r="J188" s="385"/>
      <c r="K188" s="385"/>
      <c r="L188" s="385"/>
      <c r="M188" s="385"/>
    </row>
    <row r="189" spans="2:13" x14ac:dyDescent="0.25">
      <c r="B189" s="379"/>
      <c r="C189" s="384"/>
      <c r="G189" s="385"/>
      <c r="H189" s="386"/>
      <c r="I189" s="385"/>
      <c r="J189" s="385"/>
      <c r="K189" s="385"/>
      <c r="L189" s="385"/>
      <c r="M189" s="385"/>
    </row>
    <row r="190" spans="2:13" x14ac:dyDescent="0.25">
      <c r="C190" s="384"/>
      <c r="G190" s="385"/>
      <c r="H190" s="386"/>
      <c r="I190" s="385"/>
      <c r="J190" s="385"/>
      <c r="K190" s="385"/>
      <c r="L190" s="385"/>
      <c r="M190" s="385"/>
    </row>
    <row r="191" spans="2:13" x14ac:dyDescent="0.25">
      <c r="B191" s="570"/>
      <c r="C191" s="390"/>
      <c r="G191" s="385"/>
      <c r="H191" s="386"/>
      <c r="I191" s="385"/>
      <c r="J191" s="385"/>
      <c r="K191" s="385"/>
      <c r="L191" s="385"/>
      <c r="M191" s="385"/>
    </row>
    <row r="192" spans="2:13" x14ac:dyDescent="0.25">
      <c r="B192" s="379"/>
      <c r="C192" s="384"/>
      <c r="G192" s="385"/>
      <c r="H192" s="386"/>
      <c r="I192" s="385"/>
      <c r="J192" s="385"/>
      <c r="K192" s="385"/>
      <c r="L192" s="385"/>
      <c r="M192" s="385"/>
    </row>
    <row r="193" spans="1:13" x14ac:dyDescent="0.25">
      <c r="B193" s="379"/>
      <c r="C193" s="384"/>
      <c r="G193" s="385"/>
      <c r="H193" s="386"/>
      <c r="I193" s="385"/>
      <c r="J193" s="385"/>
      <c r="K193" s="385"/>
      <c r="L193" s="385"/>
      <c r="M193" s="385"/>
    </row>
    <row r="194" spans="1:13" x14ac:dyDescent="0.25">
      <c r="C194" s="384"/>
      <c r="G194" s="385"/>
      <c r="H194" s="386"/>
      <c r="I194" s="385"/>
      <c r="J194" s="385"/>
      <c r="K194" s="385"/>
      <c r="L194" s="385"/>
      <c r="M194" s="385"/>
    </row>
    <row r="195" spans="1:13" x14ac:dyDescent="0.25">
      <c r="G195" s="385"/>
      <c r="H195" s="386"/>
      <c r="I195" s="385"/>
      <c r="J195" s="385"/>
      <c r="K195" s="385"/>
      <c r="L195" s="385"/>
      <c r="M195" s="385"/>
    </row>
    <row r="196" spans="1:13" x14ac:dyDescent="0.25">
      <c r="C196" s="390"/>
      <c r="G196" s="391"/>
      <c r="H196" s="571"/>
      <c r="I196" s="391"/>
      <c r="J196" s="391"/>
      <c r="K196" s="391"/>
      <c r="L196" s="391"/>
      <c r="M196" s="391"/>
    </row>
    <row r="197" spans="1:13" x14ac:dyDescent="0.25">
      <c r="C197" s="390"/>
      <c r="G197" s="391"/>
      <c r="H197" s="571"/>
      <c r="I197" s="391"/>
      <c r="J197" s="391"/>
      <c r="K197" s="391"/>
      <c r="L197" s="391"/>
      <c r="M197" s="391"/>
    </row>
    <row r="199" spans="1:13" x14ac:dyDescent="0.25">
      <c r="A199" s="381"/>
      <c r="C199" s="381"/>
      <c r="D199" s="787"/>
      <c r="E199" s="382"/>
    </row>
    <row r="200" spans="1:13" x14ac:dyDescent="0.25">
      <c r="B200" s="385"/>
      <c r="C200" s="384"/>
      <c r="D200" s="786"/>
      <c r="E200" s="380"/>
      <c r="G200" s="385"/>
      <c r="H200" s="386"/>
      <c r="I200" s="385"/>
      <c r="J200" s="385"/>
      <c r="K200" s="385"/>
      <c r="L200" s="385"/>
      <c r="M200" s="385"/>
    </row>
    <row r="201" spans="1:13" x14ac:dyDescent="0.25">
      <c r="B201" s="385"/>
      <c r="C201" s="384"/>
      <c r="D201" s="786"/>
      <c r="E201" s="380"/>
      <c r="F201" s="380"/>
      <c r="G201" s="387"/>
      <c r="H201" s="569"/>
      <c r="I201" s="387"/>
      <c r="J201" s="387"/>
      <c r="K201" s="387"/>
      <c r="L201" s="387"/>
      <c r="M201" s="387"/>
    </row>
    <row r="202" spans="1:13" x14ac:dyDescent="0.25">
      <c r="B202" s="385"/>
      <c r="C202" s="384"/>
      <c r="G202" s="385"/>
      <c r="H202" s="386"/>
      <c r="I202" s="385"/>
      <c r="J202" s="385"/>
      <c r="K202" s="385"/>
      <c r="L202" s="385"/>
      <c r="M202" s="385"/>
    </row>
    <row r="203" spans="1:13" x14ac:dyDescent="0.25">
      <c r="B203" s="385"/>
      <c r="C203" s="384"/>
      <c r="G203" s="385"/>
      <c r="H203" s="386"/>
      <c r="I203" s="385"/>
      <c r="J203" s="385"/>
      <c r="K203" s="385"/>
      <c r="L203" s="385"/>
      <c r="M203" s="385"/>
    </row>
    <row r="204" spans="1:13" x14ac:dyDescent="0.25">
      <c r="B204" s="385"/>
      <c r="C204" s="384"/>
      <c r="G204" s="385"/>
      <c r="H204" s="386"/>
      <c r="I204" s="385"/>
      <c r="J204" s="385"/>
      <c r="K204" s="385"/>
      <c r="L204" s="385"/>
      <c r="M204" s="385"/>
    </row>
    <row r="205" spans="1:13" x14ac:dyDescent="0.25">
      <c r="B205" s="385"/>
      <c r="C205" s="384"/>
      <c r="G205" s="385"/>
      <c r="H205" s="386"/>
      <c r="I205" s="385"/>
      <c r="J205" s="385"/>
      <c r="K205" s="385"/>
      <c r="L205" s="385"/>
      <c r="M205" s="385"/>
    </row>
    <row r="206" spans="1:13" x14ac:dyDescent="0.25">
      <c r="B206" s="570"/>
      <c r="C206" s="384"/>
      <c r="G206" s="385"/>
      <c r="H206" s="386"/>
      <c r="I206" s="385"/>
      <c r="J206" s="385"/>
      <c r="K206" s="385"/>
      <c r="L206" s="385"/>
      <c r="M206" s="385"/>
    </row>
    <row r="207" spans="1:13" x14ac:dyDescent="0.25">
      <c r="C207" s="384"/>
      <c r="G207" s="385"/>
      <c r="H207" s="386"/>
      <c r="I207" s="385"/>
      <c r="J207" s="385"/>
      <c r="K207" s="385"/>
      <c r="L207" s="385"/>
      <c r="M207" s="385"/>
    </row>
    <row r="208" spans="1:13" x14ac:dyDescent="0.25">
      <c r="B208" s="385"/>
      <c r="C208" s="384"/>
      <c r="G208" s="385"/>
      <c r="H208" s="386"/>
      <c r="I208" s="385"/>
      <c r="J208" s="385"/>
      <c r="K208" s="385"/>
      <c r="L208" s="385"/>
      <c r="M208" s="385"/>
    </row>
    <row r="209" spans="2:13" x14ac:dyDescent="0.25">
      <c r="B209" s="385"/>
      <c r="C209" s="384"/>
      <c r="G209" s="385"/>
      <c r="H209" s="386"/>
      <c r="I209" s="385"/>
      <c r="J209" s="385"/>
      <c r="K209" s="385"/>
      <c r="L209" s="385"/>
      <c r="M209" s="385"/>
    </row>
    <row r="210" spans="2:13" x14ac:dyDescent="0.25">
      <c r="B210" s="385"/>
      <c r="C210" s="384"/>
      <c r="G210" s="385"/>
      <c r="H210" s="386"/>
      <c r="I210" s="385"/>
      <c r="J210" s="385"/>
      <c r="K210" s="385"/>
      <c r="L210" s="385"/>
      <c r="M210" s="385"/>
    </row>
    <row r="211" spans="2:13" x14ac:dyDescent="0.25">
      <c r="B211" s="385"/>
      <c r="C211" s="384"/>
      <c r="G211" s="385"/>
      <c r="H211" s="386"/>
      <c r="I211" s="385"/>
      <c r="J211" s="385"/>
      <c r="K211" s="385"/>
      <c r="L211" s="385"/>
      <c r="M211" s="385"/>
    </row>
    <row r="212" spans="2:13" x14ac:dyDescent="0.25">
      <c r="C212" s="384"/>
      <c r="G212" s="385"/>
      <c r="H212" s="386"/>
      <c r="I212" s="385"/>
      <c r="J212" s="385"/>
      <c r="K212" s="385"/>
      <c r="L212" s="385"/>
      <c r="M212" s="385"/>
    </row>
    <row r="213" spans="2:13" x14ac:dyDescent="0.25">
      <c r="B213" s="385"/>
      <c r="C213" s="384"/>
      <c r="G213" s="385"/>
      <c r="H213" s="386"/>
      <c r="I213" s="385"/>
      <c r="J213" s="385"/>
      <c r="K213" s="385"/>
      <c r="L213" s="385"/>
      <c r="M213" s="385"/>
    </row>
    <row r="214" spans="2:13" x14ac:dyDescent="0.25">
      <c r="B214" s="385"/>
      <c r="C214" s="384"/>
      <c r="G214" s="385"/>
      <c r="H214" s="386"/>
      <c r="I214" s="385"/>
      <c r="J214" s="385"/>
      <c r="K214" s="385"/>
      <c r="L214" s="385"/>
      <c r="M214" s="385"/>
    </row>
    <row r="215" spans="2:13" x14ac:dyDescent="0.25">
      <c r="B215" s="385"/>
      <c r="C215" s="384"/>
      <c r="G215" s="385"/>
      <c r="H215" s="386"/>
      <c r="I215" s="385"/>
      <c r="J215" s="385"/>
      <c r="K215" s="385"/>
      <c r="L215" s="385"/>
      <c r="M215" s="385"/>
    </row>
    <row r="216" spans="2:13" x14ac:dyDescent="0.25">
      <c r="B216" s="570"/>
      <c r="C216" s="384"/>
      <c r="G216" s="385"/>
      <c r="H216" s="386"/>
      <c r="I216" s="385"/>
      <c r="J216" s="385"/>
      <c r="K216" s="385"/>
      <c r="L216" s="385"/>
      <c r="M216" s="385"/>
    </row>
    <row r="217" spans="2:13" x14ac:dyDescent="0.25">
      <c r="B217" s="385"/>
      <c r="C217" s="384"/>
      <c r="G217" s="385"/>
      <c r="H217" s="386"/>
      <c r="I217" s="385"/>
      <c r="J217" s="385"/>
      <c r="K217" s="385"/>
      <c r="L217" s="385"/>
      <c r="M217" s="385"/>
    </row>
    <row r="218" spans="2:13" x14ac:dyDescent="0.25">
      <c r="B218" s="385"/>
      <c r="C218" s="384"/>
      <c r="G218" s="385"/>
      <c r="H218" s="386"/>
      <c r="I218" s="385"/>
      <c r="J218" s="385"/>
      <c r="K218" s="385"/>
      <c r="L218" s="385"/>
      <c r="M218" s="385"/>
    </row>
    <row r="219" spans="2:13" x14ac:dyDescent="0.25">
      <c r="B219" s="385"/>
      <c r="C219" s="384"/>
      <c r="G219" s="385"/>
      <c r="H219" s="386"/>
      <c r="I219" s="385"/>
      <c r="J219" s="385"/>
      <c r="K219" s="385"/>
      <c r="L219" s="385"/>
      <c r="M219" s="385"/>
    </row>
    <row r="220" spans="2:13" x14ac:dyDescent="0.25">
      <c r="B220" s="385"/>
      <c r="C220" s="384"/>
      <c r="G220" s="385"/>
      <c r="H220" s="386"/>
      <c r="I220" s="385"/>
      <c r="J220" s="385"/>
      <c r="K220" s="385"/>
      <c r="L220" s="385"/>
      <c r="M220" s="385"/>
    </row>
    <row r="221" spans="2:13" x14ac:dyDescent="0.25">
      <c r="B221" s="385"/>
      <c r="C221" s="384"/>
      <c r="G221" s="385"/>
      <c r="H221" s="386"/>
      <c r="I221" s="385"/>
      <c r="J221" s="385"/>
      <c r="K221" s="385"/>
      <c r="L221" s="385"/>
      <c r="M221" s="385"/>
    </row>
    <row r="222" spans="2:13" x14ac:dyDescent="0.25">
      <c r="B222" s="385"/>
      <c r="C222" s="384"/>
      <c r="G222" s="385"/>
      <c r="H222" s="386"/>
      <c r="I222" s="385"/>
      <c r="J222" s="385"/>
      <c r="K222" s="385"/>
      <c r="L222" s="385"/>
      <c r="M222" s="385"/>
    </row>
    <row r="223" spans="2:13" x14ac:dyDescent="0.25">
      <c r="B223" s="385"/>
      <c r="C223" s="384"/>
      <c r="G223" s="385"/>
      <c r="H223" s="386"/>
      <c r="I223" s="385"/>
      <c r="J223" s="385"/>
      <c r="K223" s="385"/>
      <c r="L223" s="385"/>
      <c r="M223" s="385"/>
    </row>
    <row r="224" spans="2:13" x14ac:dyDescent="0.25">
      <c r="B224" s="385"/>
      <c r="C224" s="384"/>
      <c r="G224" s="385"/>
      <c r="H224" s="386"/>
      <c r="I224" s="385"/>
      <c r="J224" s="385"/>
      <c r="K224" s="385"/>
      <c r="L224" s="385"/>
      <c r="M224" s="385"/>
    </row>
    <row r="225" spans="2:13" x14ac:dyDescent="0.25">
      <c r="B225" s="379"/>
      <c r="C225" s="384"/>
      <c r="G225" s="385"/>
      <c r="H225" s="386"/>
      <c r="I225" s="385"/>
      <c r="J225" s="385"/>
      <c r="K225" s="385"/>
      <c r="L225" s="385"/>
      <c r="M225" s="385"/>
    </row>
    <row r="226" spans="2:13" x14ac:dyDescent="0.25">
      <c r="C226" s="384"/>
      <c r="G226" s="385"/>
      <c r="H226" s="386"/>
      <c r="I226" s="385"/>
      <c r="J226" s="385"/>
      <c r="K226" s="385"/>
      <c r="L226" s="385"/>
      <c r="M226" s="385"/>
    </row>
    <row r="227" spans="2:13" x14ac:dyDescent="0.25">
      <c r="B227" s="379"/>
      <c r="C227" s="384"/>
      <c r="G227" s="385"/>
      <c r="H227" s="386"/>
      <c r="I227" s="385"/>
      <c r="J227" s="385"/>
      <c r="K227" s="385"/>
      <c r="L227" s="385"/>
      <c r="M227" s="385"/>
    </row>
    <row r="228" spans="2:13" x14ac:dyDescent="0.25">
      <c r="C228" s="384"/>
      <c r="G228" s="385"/>
      <c r="H228" s="386"/>
      <c r="I228" s="385"/>
      <c r="J228" s="385"/>
      <c r="K228" s="385"/>
      <c r="L228" s="385"/>
      <c r="M228" s="385"/>
    </row>
    <row r="229" spans="2:13" x14ac:dyDescent="0.25">
      <c r="B229" s="385"/>
      <c r="C229" s="384"/>
      <c r="G229" s="385"/>
      <c r="H229" s="386"/>
      <c r="I229" s="385"/>
      <c r="J229" s="385"/>
      <c r="K229" s="385"/>
      <c r="L229" s="385"/>
      <c r="M229" s="385"/>
    </row>
    <row r="230" spans="2:13" x14ac:dyDescent="0.25">
      <c r="B230" s="385"/>
      <c r="C230" s="384"/>
      <c r="G230" s="385"/>
      <c r="H230" s="386"/>
      <c r="I230" s="385"/>
      <c r="J230" s="385"/>
      <c r="K230" s="385"/>
      <c r="L230" s="385"/>
      <c r="M230" s="385"/>
    </row>
    <row r="231" spans="2:13" x14ac:dyDescent="0.25">
      <c r="B231" s="385"/>
      <c r="C231" s="384"/>
      <c r="G231" s="385"/>
      <c r="H231" s="386"/>
      <c r="I231" s="385"/>
      <c r="J231" s="385"/>
      <c r="K231" s="385"/>
      <c r="L231" s="385"/>
      <c r="M231" s="385"/>
    </row>
    <row r="232" spans="2:13" x14ac:dyDescent="0.25">
      <c r="B232" s="379"/>
      <c r="C232" s="384"/>
      <c r="G232" s="385"/>
      <c r="H232" s="386"/>
      <c r="I232" s="385"/>
      <c r="J232" s="385"/>
      <c r="K232" s="385"/>
      <c r="L232" s="385"/>
      <c r="M232" s="385"/>
    </row>
    <row r="233" spans="2:13" x14ac:dyDescent="0.25">
      <c r="C233" s="384"/>
      <c r="G233" s="385"/>
      <c r="H233" s="386"/>
      <c r="I233" s="385"/>
      <c r="J233" s="385"/>
      <c r="K233" s="385"/>
      <c r="L233" s="385"/>
      <c r="M233" s="385"/>
    </row>
    <row r="234" spans="2:13" x14ac:dyDescent="0.25">
      <c r="B234" s="385"/>
      <c r="C234" s="384"/>
      <c r="G234" s="385"/>
      <c r="H234" s="386"/>
      <c r="I234" s="385"/>
      <c r="J234" s="385"/>
      <c r="K234" s="385"/>
      <c r="L234" s="385"/>
      <c r="M234" s="385"/>
    </row>
    <row r="235" spans="2:13" x14ac:dyDescent="0.25">
      <c r="B235" s="385"/>
      <c r="C235" s="384"/>
      <c r="G235" s="385"/>
      <c r="H235" s="386"/>
      <c r="I235" s="385"/>
      <c r="J235" s="385"/>
      <c r="K235" s="385"/>
      <c r="L235" s="385"/>
      <c r="M235" s="385"/>
    </row>
    <row r="236" spans="2:13" x14ac:dyDescent="0.25">
      <c r="B236" s="379"/>
      <c r="C236" s="384"/>
      <c r="G236" s="385"/>
      <c r="H236" s="386"/>
      <c r="I236" s="385"/>
      <c r="J236" s="385"/>
      <c r="K236" s="385"/>
      <c r="L236" s="385"/>
      <c r="M236" s="385"/>
    </row>
    <row r="237" spans="2:13" x14ac:dyDescent="0.25">
      <c r="C237" s="384"/>
      <c r="G237" s="385"/>
      <c r="H237" s="386"/>
      <c r="I237" s="385"/>
      <c r="J237" s="385"/>
      <c r="K237" s="385"/>
      <c r="L237" s="385"/>
      <c r="M237" s="385"/>
    </row>
    <row r="238" spans="2:13" x14ac:dyDescent="0.25">
      <c r="B238" s="570"/>
      <c r="C238" s="390"/>
      <c r="G238" s="385"/>
      <c r="H238" s="386"/>
      <c r="I238" s="385"/>
      <c r="J238" s="385"/>
      <c r="K238" s="385"/>
      <c r="L238" s="385"/>
      <c r="M238" s="385"/>
    </row>
    <row r="239" spans="2:13" x14ac:dyDescent="0.25">
      <c r="B239" s="379"/>
      <c r="C239" s="384"/>
      <c r="G239" s="385"/>
      <c r="H239" s="386"/>
      <c r="I239" s="385"/>
      <c r="J239" s="385"/>
      <c r="K239" s="385"/>
      <c r="L239" s="385"/>
      <c r="M239" s="385"/>
    </row>
    <row r="240" spans="2:13" x14ac:dyDescent="0.25">
      <c r="B240" s="379"/>
      <c r="C240" s="384"/>
      <c r="G240" s="385"/>
      <c r="H240" s="386"/>
      <c r="I240" s="385"/>
      <c r="J240" s="385"/>
      <c r="K240" s="385"/>
      <c r="L240" s="385"/>
      <c r="M240" s="385"/>
    </row>
    <row r="241" spans="1:13" x14ac:dyDescent="0.25">
      <c r="C241" s="390"/>
      <c r="G241" s="385"/>
      <c r="H241" s="386"/>
      <c r="I241" s="385"/>
      <c r="J241" s="385"/>
      <c r="K241" s="385"/>
      <c r="L241" s="385"/>
      <c r="M241" s="385"/>
    </row>
    <row r="242" spans="1:13" x14ac:dyDescent="0.25">
      <c r="G242" s="385"/>
      <c r="H242" s="386"/>
      <c r="I242" s="385"/>
      <c r="J242" s="385"/>
      <c r="K242" s="385"/>
      <c r="L242" s="385"/>
      <c r="M242" s="385"/>
    </row>
    <row r="243" spans="1:13" x14ac:dyDescent="0.25">
      <c r="K243" s="391"/>
      <c r="L243" s="391"/>
      <c r="M243" s="391"/>
    </row>
    <row r="245" spans="1:13" x14ac:dyDescent="0.25">
      <c r="A245" s="381"/>
      <c r="C245" s="381"/>
      <c r="D245" s="787"/>
      <c r="E245" s="382"/>
    </row>
    <row r="246" spans="1:13" x14ac:dyDescent="0.25">
      <c r="B246" s="385"/>
      <c r="C246" s="384"/>
      <c r="D246" s="786"/>
      <c r="E246" s="380"/>
      <c r="G246" s="385"/>
      <c r="H246" s="386"/>
      <c r="I246" s="385"/>
      <c r="J246" s="385"/>
      <c r="K246" s="385"/>
      <c r="L246" s="385"/>
      <c r="M246" s="385"/>
    </row>
    <row r="247" spans="1:13" x14ac:dyDescent="0.25">
      <c r="B247" s="385"/>
      <c r="C247" s="384"/>
      <c r="D247" s="786"/>
      <c r="E247" s="380"/>
      <c r="F247" s="380"/>
      <c r="G247" s="387"/>
      <c r="H247" s="569"/>
      <c r="I247" s="387"/>
      <c r="J247" s="387"/>
      <c r="K247" s="387"/>
      <c r="L247" s="387"/>
      <c r="M247" s="387"/>
    </row>
    <row r="248" spans="1:13" x14ac:dyDescent="0.25">
      <c r="B248" s="385"/>
      <c r="C248" s="384"/>
      <c r="G248" s="385"/>
      <c r="H248" s="386"/>
      <c r="I248" s="385"/>
      <c r="J248" s="385"/>
      <c r="K248" s="385"/>
      <c r="L248" s="385"/>
      <c r="M248" s="385"/>
    </row>
    <row r="249" spans="1:13" x14ac:dyDescent="0.25">
      <c r="B249" s="385"/>
      <c r="C249" s="384"/>
      <c r="G249" s="385"/>
      <c r="H249" s="386"/>
      <c r="I249" s="385"/>
      <c r="J249" s="385"/>
      <c r="K249" s="385"/>
      <c r="L249" s="385"/>
      <c r="M249" s="385"/>
    </row>
    <row r="250" spans="1:13" x14ac:dyDescent="0.25">
      <c r="B250" s="385"/>
      <c r="C250" s="384"/>
      <c r="G250" s="385"/>
      <c r="H250" s="386"/>
      <c r="I250" s="385"/>
      <c r="J250" s="385"/>
      <c r="K250" s="385"/>
      <c r="L250" s="385"/>
      <c r="M250" s="385"/>
    </row>
    <row r="251" spans="1:13" x14ac:dyDescent="0.25">
      <c r="B251" s="385"/>
      <c r="C251" s="384"/>
      <c r="G251" s="385"/>
      <c r="H251" s="386"/>
      <c r="I251" s="385"/>
      <c r="J251" s="385"/>
      <c r="K251" s="385"/>
      <c r="L251" s="385"/>
      <c r="M251" s="385"/>
    </row>
    <row r="252" spans="1:13" x14ac:dyDescent="0.25">
      <c r="B252" s="570"/>
      <c r="C252" s="384"/>
      <c r="G252" s="385"/>
      <c r="H252" s="386"/>
      <c r="I252" s="385"/>
      <c r="J252" s="385"/>
      <c r="K252" s="385"/>
      <c r="L252" s="385"/>
      <c r="M252" s="385"/>
    </row>
    <row r="253" spans="1:13" x14ac:dyDescent="0.25">
      <c r="C253" s="384"/>
      <c r="G253" s="385"/>
      <c r="H253" s="386"/>
      <c r="I253" s="385"/>
      <c r="J253" s="385"/>
      <c r="K253" s="385"/>
      <c r="L253" s="385"/>
      <c r="M253" s="385"/>
    </row>
    <row r="254" spans="1:13" x14ac:dyDescent="0.25">
      <c r="B254" s="385"/>
      <c r="C254" s="384"/>
      <c r="G254" s="385"/>
      <c r="H254" s="386"/>
      <c r="I254" s="385"/>
      <c r="J254" s="385"/>
      <c r="K254" s="385"/>
      <c r="L254" s="385"/>
      <c r="M254" s="385"/>
    </row>
    <row r="255" spans="1:13" x14ac:dyDescent="0.25">
      <c r="B255" s="385"/>
      <c r="C255" s="384"/>
      <c r="G255" s="385"/>
      <c r="H255" s="386"/>
      <c r="I255" s="385"/>
      <c r="J255" s="385"/>
      <c r="K255" s="385"/>
      <c r="L255" s="385"/>
      <c r="M255" s="385"/>
    </row>
    <row r="256" spans="1:13" x14ac:dyDescent="0.25">
      <c r="B256" s="385"/>
      <c r="C256" s="384"/>
      <c r="G256" s="385"/>
      <c r="H256" s="386"/>
      <c r="I256" s="385"/>
      <c r="J256" s="385"/>
      <c r="K256" s="385"/>
      <c r="L256" s="385"/>
      <c r="M256" s="385"/>
    </row>
    <row r="257" spans="2:13" x14ac:dyDescent="0.25">
      <c r="B257" s="385"/>
      <c r="C257" s="384"/>
      <c r="G257" s="385"/>
      <c r="H257" s="386"/>
      <c r="I257" s="385"/>
      <c r="J257" s="385"/>
      <c r="K257" s="385"/>
      <c r="L257" s="385"/>
      <c r="M257" s="385"/>
    </row>
    <row r="258" spans="2:13" x14ac:dyDescent="0.25">
      <c r="C258" s="384"/>
      <c r="G258" s="385"/>
      <c r="H258" s="386"/>
      <c r="I258" s="385"/>
      <c r="J258" s="385"/>
      <c r="K258" s="385"/>
      <c r="L258" s="385"/>
      <c r="M258" s="385"/>
    </row>
    <row r="259" spans="2:13" x14ac:dyDescent="0.25">
      <c r="B259" s="385"/>
      <c r="C259" s="384"/>
      <c r="G259" s="385"/>
      <c r="H259" s="386"/>
      <c r="I259" s="385"/>
      <c r="J259" s="385"/>
      <c r="K259" s="385"/>
      <c r="L259" s="385"/>
      <c r="M259" s="385"/>
    </row>
    <row r="260" spans="2:13" x14ac:dyDescent="0.25">
      <c r="B260" s="385"/>
      <c r="C260" s="384"/>
      <c r="G260" s="385"/>
      <c r="H260" s="386"/>
      <c r="I260" s="385"/>
      <c r="J260" s="385"/>
      <c r="K260" s="385"/>
      <c r="L260" s="385"/>
      <c r="M260" s="385"/>
    </row>
    <row r="261" spans="2:13" x14ac:dyDescent="0.25">
      <c r="B261" s="385"/>
      <c r="C261" s="384"/>
      <c r="G261" s="385"/>
      <c r="H261" s="386"/>
      <c r="I261" s="385"/>
      <c r="J261" s="385"/>
      <c r="K261" s="385"/>
      <c r="L261" s="385"/>
      <c r="M261" s="385"/>
    </row>
    <row r="262" spans="2:13" x14ac:dyDescent="0.25">
      <c r="B262" s="570"/>
      <c r="C262" s="384"/>
      <c r="G262" s="385"/>
      <c r="H262" s="386"/>
      <c r="I262" s="385"/>
      <c r="J262" s="385"/>
      <c r="K262" s="385"/>
      <c r="L262" s="385"/>
      <c r="M262" s="385"/>
    </row>
    <row r="263" spans="2:13" x14ac:dyDescent="0.25">
      <c r="B263" s="385"/>
      <c r="C263" s="384"/>
      <c r="G263" s="385"/>
      <c r="H263" s="386"/>
      <c r="I263" s="385"/>
      <c r="J263" s="385"/>
      <c r="K263" s="385"/>
      <c r="L263" s="385"/>
      <c r="M263" s="385"/>
    </row>
    <row r="264" spans="2:13" x14ac:dyDescent="0.25">
      <c r="B264" s="385"/>
      <c r="C264" s="384"/>
      <c r="G264" s="385"/>
      <c r="H264" s="386"/>
      <c r="I264" s="385"/>
      <c r="J264" s="385"/>
      <c r="K264" s="385"/>
      <c r="L264" s="385"/>
      <c r="M264" s="385"/>
    </row>
    <row r="265" spans="2:13" x14ac:dyDescent="0.25">
      <c r="B265" s="385"/>
      <c r="C265" s="384"/>
      <c r="G265" s="385"/>
      <c r="H265" s="386"/>
      <c r="I265" s="385"/>
      <c r="J265" s="385"/>
      <c r="K265" s="385"/>
      <c r="L265" s="385"/>
      <c r="M265" s="385"/>
    </row>
    <row r="266" spans="2:13" x14ac:dyDescent="0.25">
      <c r="B266" s="385"/>
      <c r="C266" s="384"/>
      <c r="G266" s="385"/>
      <c r="H266" s="386"/>
      <c r="I266" s="385"/>
      <c r="J266" s="385"/>
      <c r="K266" s="385"/>
      <c r="L266" s="385"/>
      <c r="M266" s="385"/>
    </row>
    <row r="267" spans="2:13" x14ac:dyDescent="0.25">
      <c r="B267" s="385"/>
      <c r="C267" s="384"/>
      <c r="G267" s="385"/>
      <c r="H267" s="386"/>
      <c r="I267" s="385"/>
      <c r="J267" s="385"/>
      <c r="K267" s="385"/>
      <c r="L267" s="385"/>
      <c r="M267" s="385"/>
    </row>
    <row r="268" spans="2:13" x14ac:dyDescent="0.25">
      <c r="B268" s="385"/>
      <c r="C268" s="384"/>
      <c r="G268" s="385"/>
      <c r="H268" s="386"/>
      <c r="I268" s="385"/>
      <c r="J268" s="385"/>
      <c r="K268" s="385"/>
      <c r="L268" s="385"/>
      <c r="M268" s="385"/>
    </row>
    <row r="269" spans="2:13" x14ac:dyDescent="0.25">
      <c r="B269" s="385"/>
      <c r="C269" s="384"/>
      <c r="G269" s="385"/>
      <c r="H269" s="386"/>
      <c r="I269" s="385"/>
      <c r="J269" s="385"/>
      <c r="K269" s="385"/>
      <c r="L269" s="385"/>
      <c r="M269" s="385"/>
    </row>
    <row r="270" spans="2:13" x14ac:dyDescent="0.25">
      <c r="B270" s="385"/>
      <c r="C270" s="384"/>
      <c r="G270" s="385"/>
      <c r="H270" s="386"/>
      <c r="I270" s="385"/>
      <c r="J270" s="385"/>
      <c r="K270" s="385"/>
      <c r="L270" s="385"/>
      <c r="M270" s="385"/>
    </row>
    <row r="271" spans="2:13" x14ac:dyDescent="0.25">
      <c r="B271" s="379"/>
      <c r="C271" s="384"/>
      <c r="G271" s="385"/>
      <c r="H271" s="386"/>
      <c r="I271" s="385"/>
      <c r="J271" s="385"/>
      <c r="K271" s="385"/>
      <c r="L271" s="385"/>
      <c r="M271" s="385"/>
    </row>
    <row r="272" spans="2:13" x14ac:dyDescent="0.25">
      <c r="C272" s="384"/>
      <c r="G272" s="385"/>
      <c r="H272" s="386"/>
      <c r="I272" s="385"/>
      <c r="J272" s="385"/>
      <c r="K272" s="385"/>
      <c r="L272" s="385"/>
      <c r="M272" s="385"/>
    </row>
    <row r="273" spans="2:13" x14ac:dyDescent="0.25">
      <c r="B273" s="379"/>
      <c r="C273" s="384"/>
      <c r="G273" s="385"/>
      <c r="H273" s="386"/>
      <c r="I273" s="385"/>
      <c r="J273" s="385"/>
      <c r="K273" s="385"/>
      <c r="L273" s="385"/>
      <c r="M273" s="385"/>
    </row>
    <row r="274" spans="2:13" x14ac:dyDescent="0.25">
      <c r="C274" s="384"/>
      <c r="G274" s="385"/>
      <c r="H274" s="386"/>
      <c r="I274" s="385"/>
      <c r="J274" s="385"/>
      <c r="K274" s="385"/>
      <c r="L274" s="385"/>
      <c r="M274" s="385"/>
    </row>
    <row r="275" spans="2:13" x14ac:dyDescent="0.25">
      <c r="B275" s="385"/>
      <c r="C275" s="384"/>
      <c r="G275" s="385"/>
      <c r="H275" s="386"/>
      <c r="I275" s="385"/>
      <c r="J275" s="385"/>
      <c r="K275" s="385"/>
      <c r="L275" s="385"/>
      <c r="M275" s="385"/>
    </row>
    <row r="276" spans="2:13" x14ac:dyDescent="0.25">
      <c r="B276" s="385"/>
      <c r="C276" s="384"/>
      <c r="G276" s="385"/>
      <c r="H276" s="386"/>
      <c r="I276" s="385"/>
      <c r="J276" s="385"/>
      <c r="K276" s="385"/>
      <c r="L276" s="385"/>
      <c r="M276" s="385"/>
    </row>
    <row r="277" spans="2:13" x14ac:dyDescent="0.25">
      <c r="B277" s="385"/>
      <c r="C277" s="384"/>
      <c r="G277" s="385"/>
      <c r="H277" s="386"/>
      <c r="I277" s="385"/>
      <c r="J277" s="385"/>
      <c r="K277" s="385"/>
      <c r="L277" s="385"/>
      <c r="M277" s="385"/>
    </row>
    <row r="278" spans="2:13" x14ac:dyDescent="0.25">
      <c r="B278" s="379"/>
      <c r="C278" s="384"/>
      <c r="G278" s="385"/>
      <c r="H278" s="386"/>
      <c r="I278" s="385"/>
      <c r="J278" s="385"/>
      <c r="K278" s="385"/>
      <c r="L278" s="385"/>
      <c r="M278" s="385"/>
    </row>
    <row r="279" spans="2:13" x14ac:dyDescent="0.25">
      <c r="C279" s="384"/>
      <c r="G279" s="385"/>
      <c r="H279" s="386"/>
      <c r="I279" s="385"/>
      <c r="J279" s="385"/>
      <c r="K279" s="385"/>
      <c r="L279" s="385"/>
      <c r="M279" s="385"/>
    </row>
    <row r="280" spans="2:13" x14ac:dyDescent="0.25">
      <c r="B280" s="385"/>
      <c r="C280" s="384"/>
      <c r="G280" s="385"/>
      <c r="H280" s="386"/>
      <c r="I280" s="385"/>
      <c r="J280" s="385"/>
      <c r="K280" s="385"/>
      <c r="L280" s="385"/>
      <c r="M280" s="385"/>
    </row>
    <row r="281" spans="2:13" x14ac:dyDescent="0.25">
      <c r="B281" s="385"/>
      <c r="C281" s="384"/>
      <c r="G281" s="385"/>
      <c r="H281" s="386"/>
      <c r="I281" s="385"/>
      <c r="J281" s="385"/>
      <c r="K281" s="385"/>
      <c r="L281" s="385"/>
      <c r="M281" s="385"/>
    </row>
    <row r="282" spans="2:13" x14ac:dyDescent="0.25">
      <c r="B282" s="379"/>
      <c r="C282" s="384"/>
      <c r="G282" s="385"/>
      <c r="H282" s="386"/>
      <c r="I282" s="385"/>
      <c r="J282" s="385"/>
      <c r="K282" s="385"/>
      <c r="L282" s="385"/>
      <c r="M282" s="385"/>
    </row>
    <row r="283" spans="2:13" x14ac:dyDescent="0.25">
      <c r="C283" s="384"/>
      <c r="G283" s="385"/>
      <c r="H283" s="386"/>
      <c r="I283" s="385"/>
      <c r="J283" s="385"/>
      <c r="K283" s="385"/>
      <c r="L283" s="385"/>
      <c r="M283" s="385"/>
    </row>
    <row r="284" spans="2:13" x14ac:dyDescent="0.25">
      <c r="B284" s="570"/>
      <c r="C284" s="390"/>
      <c r="G284" s="385"/>
      <c r="H284" s="386"/>
      <c r="I284" s="385"/>
      <c r="J284" s="385"/>
      <c r="K284" s="385"/>
      <c r="L284" s="385"/>
      <c r="M284" s="385"/>
    </row>
    <row r="285" spans="2:13" x14ac:dyDescent="0.25">
      <c r="B285" s="379"/>
      <c r="C285" s="384"/>
      <c r="G285" s="385"/>
      <c r="H285" s="386"/>
      <c r="I285" s="385"/>
      <c r="J285" s="385"/>
      <c r="K285" s="385"/>
      <c r="L285" s="385"/>
      <c r="M285" s="385"/>
    </row>
    <row r="286" spans="2:13" x14ac:dyDescent="0.25">
      <c r="B286" s="379"/>
      <c r="C286" s="384"/>
      <c r="G286" s="385"/>
      <c r="H286" s="386"/>
      <c r="I286" s="385"/>
      <c r="J286" s="385"/>
      <c r="K286" s="385"/>
      <c r="L286" s="385"/>
      <c r="M286" s="385"/>
    </row>
    <row r="287" spans="2:13" x14ac:dyDescent="0.25">
      <c r="C287" s="390"/>
      <c r="G287" s="385"/>
      <c r="H287" s="386"/>
      <c r="I287" s="385"/>
      <c r="J287" s="385"/>
      <c r="K287" s="385"/>
      <c r="L287" s="385"/>
      <c r="M287" s="385"/>
    </row>
    <row r="288" spans="2:13" x14ac:dyDescent="0.25">
      <c r="G288" s="385"/>
      <c r="H288" s="386"/>
      <c r="I288" s="385"/>
      <c r="J288" s="385"/>
      <c r="K288" s="385"/>
      <c r="L288" s="385"/>
      <c r="M288" s="385"/>
    </row>
    <row r="289" spans="1:13" x14ac:dyDescent="0.25">
      <c r="K289" s="391"/>
      <c r="L289" s="391"/>
      <c r="M289" s="391"/>
    </row>
    <row r="292" spans="1:13" x14ac:dyDescent="0.25">
      <c r="A292" s="381"/>
      <c r="C292" s="381"/>
      <c r="D292" s="787"/>
      <c r="E292" s="382"/>
    </row>
    <row r="293" spans="1:13" x14ac:dyDescent="0.25">
      <c r="B293" s="385"/>
      <c r="C293" s="384"/>
      <c r="D293" s="786"/>
      <c r="E293" s="380"/>
      <c r="G293" s="385"/>
      <c r="H293" s="386"/>
      <c r="I293" s="385"/>
      <c r="J293" s="385"/>
      <c r="K293" s="385"/>
      <c r="L293" s="385"/>
      <c r="M293" s="385"/>
    </row>
    <row r="294" spans="1:13" x14ac:dyDescent="0.25">
      <c r="B294" s="385"/>
      <c r="C294" s="384"/>
      <c r="D294" s="786"/>
      <c r="E294" s="380"/>
      <c r="F294" s="380"/>
      <c r="G294" s="387"/>
      <c r="H294" s="569"/>
      <c r="I294" s="387"/>
      <c r="J294" s="387"/>
      <c r="K294" s="387"/>
      <c r="L294" s="387"/>
      <c r="M294" s="387"/>
    </row>
    <row r="295" spans="1:13" x14ac:dyDescent="0.25">
      <c r="B295" s="385"/>
      <c r="C295" s="384"/>
      <c r="G295" s="385"/>
      <c r="H295" s="386"/>
      <c r="I295" s="385"/>
      <c r="J295" s="385"/>
      <c r="K295" s="385"/>
      <c r="L295" s="385"/>
      <c r="M295" s="385"/>
    </row>
    <row r="296" spans="1:13" x14ac:dyDescent="0.25">
      <c r="B296" s="385"/>
      <c r="C296" s="384"/>
      <c r="G296" s="385"/>
      <c r="H296" s="386"/>
      <c r="I296" s="385"/>
      <c r="J296" s="385"/>
      <c r="K296" s="385"/>
      <c r="L296" s="385"/>
      <c r="M296" s="385"/>
    </row>
    <row r="297" spans="1:13" x14ac:dyDescent="0.25">
      <c r="B297" s="385"/>
      <c r="C297" s="384"/>
      <c r="G297" s="385"/>
      <c r="H297" s="386"/>
      <c r="I297" s="385"/>
      <c r="J297" s="385"/>
      <c r="K297" s="385"/>
      <c r="L297" s="385"/>
      <c r="M297" s="385"/>
    </row>
    <row r="298" spans="1:13" x14ac:dyDescent="0.25">
      <c r="B298" s="385"/>
      <c r="C298" s="384"/>
      <c r="G298" s="385"/>
      <c r="H298" s="386"/>
      <c r="I298" s="385"/>
      <c r="J298" s="385"/>
      <c r="K298" s="385"/>
      <c r="L298" s="385"/>
      <c r="M298" s="385"/>
    </row>
    <row r="299" spans="1:13" x14ac:dyDescent="0.25">
      <c r="B299" s="570"/>
      <c r="C299" s="384"/>
      <c r="G299" s="385"/>
      <c r="H299" s="386"/>
      <c r="I299" s="385"/>
      <c r="J299" s="385"/>
      <c r="K299" s="385"/>
      <c r="L299" s="385"/>
      <c r="M299" s="385"/>
    </row>
    <row r="300" spans="1:13" x14ac:dyDescent="0.25">
      <c r="C300" s="384"/>
      <c r="G300" s="385"/>
      <c r="H300" s="386"/>
      <c r="I300" s="385"/>
      <c r="J300" s="385"/>
      <c r="K300" s="385"/>
      <c r="L300" s="385"/>
      <c r="M300" s="385"/>
    </row>
    <row r="301" spans="1:13" x14ac:dyDescent="0.25">
      <c r="B301" s="385"/>
      <c r="C301" s="384"/>
      <c r="G301" s="385"/>
      <c r="H301" s="386"/>
      <c r="I301" s="385"/>
      <c r="J301" s="385"/>
      <c r="K301" s="385"/>
      <c r="L301" s="385"/>
      <c r="M301" s="385"/>
    </row>
    <row r="302" spans="1:13" x14ac:dyDescent="0.25">
      <c r="B302" s="385"/>
      <c r="C302" s="384"/>
      <c r="G302" s="385"/>
      <c r="H302" s="386"/>
      <c r="I302" s="385"/>
      <c r="J302" s="385"/>
      <c r="K302" s="385"/>
      <c r="L302" s="385"/>
      <c r="M302" s="385"/>
    </row>
    <row r="303" spans="1:13" x14ac:dyDescent="0.25">
      <c r="B303" s="385"/>
      <c r="C303" s="384"/>
      <c r="G303" s="385"/>
      <c r="H303" s="386"/>
      <c r="I303" s="385"/>
      <c r="J303" s="385"/>
      <c r="K303" s="385"/>
      <c r="L303" s="385"/>
      <c r="M303" s="385"/>
    </row>
    <row r="304" spans="1:13" x14ac:dyDescent="0.25">
      <c r="B304" s="385"/>
      <c r="C304" s="384"/>
      <c r="G304" s="385"/>
      <c r="H304" s="386"/>
      <c r="I304" s="385"/>
      <c r="J304" s="385"/>
      <c r="K304" s="385"/>
      <c r="L304" s="385"/>
      <c r="M304" s="385"/>
    </row>
    <row r="305" spans="2:13" x14ac:dyDescent="0.25">
      <c r="C305" s="384"/>
      <c r="G305" s="385"/>
      <c r="H305" s="386"/>
      <c r="I305" s="385"/>
      <c r="J305" s="385"/>
      <c r="K305" s="385"/>
      <c r="L305" s="385"/>
      <c r="M305" s="385"/>
    </row>
    <row r="306" spans="2:13" x14ac:dyDescent="0.25">
      <c r="B306" s="385"/>
      <c r="C306" s="384"/>
      <c r="G306" s="385"/>
      <c r="H306" s="386"/>
      <c r="I306" s="385"/>
      <c r="J306" s="385"/>
      <c r="K306" s="385"/>
      <c r="L306" s="385"/>
      <c r="M306" s="385"/>
    </row>
    <row r="307" spans="2:13" x14ac:dyDescent="0.25">
      <c r="B307" s="385"/>
      <c r="C307" s="384"/>
      <c r="G307" s="385"/>
      <c r="H307" s="386"/>
      <c r="I307" s="385"/>
      <c r="J307" s="385"/>
      <c r="K307" s="385"/>
      <c r="L307" s="385"/>
      <c r="M307" s="385"/>
    </row>
    <row r="308" spans="2:13" x14ac:dyDescent="0.25">
      <c r="B308" s="385"/>
      <c r="C308" s="384"/>
      <c r="G308" s="385"/>
      <c r="H308" s="386"/>
      <c r="I308" s="385"/>
      <c r="J308" s="385"/>
      <c r="K308" s="385"/>
      <c r="L308" s="385"/>
      <c r="M308" s="385"/>
    </row>
    <row r="309" spans="2:13" x14ac:dyDescent="0.25">
      <c r="B309" s="570"/>
      <c r="C309" s="384"/>
      <c r="G309" s="385"/>
      <c r="H309" s="386"/>
      <c r="I309" s="385"/>
      <c r="J309" s="385"/>
      <c r="K309" s="385"/>
      <c r="L309" s="385"/>
      <c r="M309" s="385"/>
    </row>
    <row r="310" spans="2:13" x14ac:dyDescent="0.25">
      <c r="B310" s="385"/>
      <c r="C310" s="384"/>
      <c r="G310" s="385"/>
      <c r="H310" s="386"/>
      <c r="I310" s="385"/>
      <c r="J310" s="385"/>
      <c r="K310" s="385"/>
      <c r="L310" s="385"/>
      <c r="M310" s="385"/>
    </row>
    <row r="311" spans="2:13" x14ac:dyDescent="0.25">
      <c r="B311" s="385"/>
      <c r="C311" s="384"/>
      <c r="G311" s="385"/>
      <c r="H311" s="386"/>
      <c r="I311" s="385"/>
      <c r="J311" s="385"/>
      <c r="K311" s="385"/>
      <c r="L311" s="385"/>
      <c r="M311" s="385"/>
    </row>
    <row r="312" spans="2:13" x14ac:dyDescent="0.25">
      <c r="B312" s="385"/>
      <c r="C312" s="384"/>
      <c r="G312" s="385"/>
      <c r="H312" s="386"/>
      <c r="I312" s="385"/>
      <c r="J312" s="385"/>
      <c r="K312" s="385"/>
      <c r="L312" s="385"/>
      <c r="M312" s="385"/>
    </row>
    <row r="313" spans="2:13" x14ac:dyDescent="0.25">
      <c r="B313" s="385"/>
      <c r="C313" s="384"/>
      <c r="G313" s="385"/>
      <c r="H313" s="386"/>
      <c r="I313" s="385"/>
      <c r="J313" s="385"/>
      <c r="K313" s="385"/>
      <c r="L313" s="385"/>
      <c r="M313" s="385"/>
    </row>
    <row r="314" spans="2:13" x14ac:dyDescent="0.25">
      <c r="B314" s="385"/>
      <c r="C314" s="384"/>
      <c r="G314" s="385"/>
      <c r="H314" s="386"/>
      <c r="I314" s="385"/>
      <c r="J314" s="385"/>
      <c r="K314" s="385"/>
      <c r="L314" s="385"/>
      <c r="M314" s="385"/>
    </row>
    <row r="315" spans="2:13" x14ac:dyDescent="0.25">
      <c r="B315" s="385"/>
      <c r="C315" s="384"/>
      <c r="G315" s="385"/>
      <c r="H315" s="386"/>
      <c r="I315" s="385"/>
      <c r="J315" s="385"/>
      <c r="K315" s="385"/>
      <c r="L315" s="385"/>
      <c r="M315" s="385"/>
    </row>
    <row r="316" spans="2:13" x14ac:dyDescent="0.25">
      <c r="B316" s="385"/>
      <c r="C316" s="384"/>
      <c r="G316" s="385"/>
      <c r="H316" s="386"/>
      <c r="I316" s="385"/>
      <c r="J316" s="385"/>
      <c r="K316" s="385"/>
      <c r="L316" s="385"/>
      <c r="M316" s="385"/>
    </row>
    <row r="317" spans="2:13" x14ac:dyDescent="0.25">
      <c r="B317" s="385"/>
      <c r="C317" s="384"/>
      <c r="G317" s="385"/>
      <c r="H317" s="386"/>
      <c r="I317" s="385"/>
      <c r="J317" s="385"/>
      <c r="K317" s="385"/>
      <c r="L317" s="385"/>
      <c r="M317" s="385"/>
    </row>
    <row r="318" spans="2:13" x14ac:dyDescent="0.25">
      <c r="B318" s="379"/>
      <c r="C318" s="384"/>
      <c r="G318" s="385"/>
      <c r="H318" s="386"/>
      <c r="I318" s="385"/>
      <c r="J318" s="385"/>
      <c r="K318" s="385"/>
      <c r="L318" s="385"/>
      <c r="M318" s="385"/>
    </row>
    <row r="319" spans="2:13" x14ac:dyDescent="0.25">
      <c r="C319" s="384"/>
      <c r="G319" s="385"/>
      <c r="H319" s="386"/>
      <c r="I319" s="385"/>
      <c r="J319" s="385"/>
      <c r="K319" s="385"/>
      <c r="L319" s="385"/>
      <c r="M319" s="385"/>
    </row>
    <row r="320" spans="2:13" x14ac:dyDescent="0.25">
      <c r="B320" s="379"/>
      <c r="C320" s="384"/>
      <c r="G320" s="385"/>
      <c r="H320" s="386"/>
      <c r="I320" s="385"/>
      <c r="J320" s="385"/>
      <c r="K320" s="385"/>
      <c r="L320" s="385"/>
      <c r="M320" s="385"/>
    </row>
    <row r="321" spans="2:14" x14ac:dyDescent="0.25">
      <c r="C321" s="384"/>
      <c r="G321" s="385"/>
      <c r="H321" s="386"/>
      <c r="I321" s="385"/>
      <c r="J321" s="385"/>
      <c r="K321" s="385"/>
      <c r="L321" s="385"/>
      <c r="M321" s="385"/>
    </row>
    <row r="322" spans="2:14" x14ac:dyDescent="0.25">
      <c r="B322" s="385"/>
      <c r="C322" s="384"/>
      <c r="G322" s="385"/>
      <c r="H322" s="386"/>
      <c r="I322" s="385"/>
      <c r="J322" s="385"/>
      <c r="K322" s="385"/>
      <c r="L322" s="385"/>
      <c r="M322" s="385"/>
    </row>
    <row r="323" spans="2:14" x14ac:dyDescent="0.25">
      <c r="B323" s="385"/>
      <c r="C323" s="384"/>
      <c r="G323" s="385"/>
      <c r="H323" s="386"/>
      <c r="I323" s="385"/>
      <c r="J323" s="385"/>
      <c r="K323" s="385"/>
      <c r="L323" s="385"/>
      <c r="M323" s="385"/>
    </row>
    <row r="324" spans="2:14" x14ac:dyDescent="0.25">
      <c r="B324" s="385"/>
      <c r="C324" s="384"/>
      <c r="G324" s="385"/>
      <c r="H324" s="386"/>
      <c r="I324" s="385"/>
      <c r="J324" s="385"/>
      <c r="K324" s="385"/>
      <c r="L324" s="385"/>
      <c r="M324" s="385"/>
    </row>
    <row r="325" spans="2:14" x14ac:dyDescent="0.25">
      <c r="B325" s="379"/>
      <c r="C325" s="384"/>
      <c r="G325" s="385"/>
      <c r="H325" s="386"/>
      <c r="I325" s="385"/>
      <c r="J325" s="385"/>
      <c r="K325" s="385"/>
      <c r="L325" s="385"/>
      <c r="M325" s="385"/>
    </row>
    <row r="326" spans="2:14" x14ac:dyDescent="0.25">
      <c r="C326" s="384"/>
      <c r="G326" s="385"/>
      <c r="H326" s="386"/>
      <c r="I326" s="385"/>
      <c r="J326" s="385"/>
      <c r="K326" s="385"/>
      <c r="L326" s="385"/>
      <c r="M326" s="385"/>
    </row>
    <row r="327" spans="2:14" x14ac:dyDescent="0.25">
      <c r="B327" s="385"/>
      <c r="C327" s="384"/>
      <c r="G327" s="385"/>
      <c r="H327" s="386"/>
      <c r="I327" s="385"/>
      <c r="J327" s="385"/>
      <c r="K327" s="385"/>
      <c r="L327" s="385"/>
      <c r="M327" s="385"/>
    </row>
    <row r="328" spans="2:14" x14ac:dyDescent="0.25">
      <c r="B328" s="385"/>
      <c r="C328" s="384"/>
      <c r="G328" s="385"/>
      <c r="H328" s="386"/>
      <c r="I328" s="385"/>
      <c r="J328" s="385"/>
      <c r="K328" s="385"/>
      <c r="L328" s="385"/>
      <c r="M328" s="385"/>
    </row>
    <row r="329" spans="2:14" x14ac:dyDescent="0.25">
      <c r="B329" s="379"/>
      <c r="C329" s="384"/>
      <c r="G329" s="385"/>
      <c r="H329" s="386"/>
      <c r="I329" s="385"/>
      <c r="J329" s="385"/>
      <c r="K329" s="385"/>
      <c r="L329" s="385"/>
      <c r="M329" s="385"/>
    </row>
    <row r="330" spans="2:14" x14ac:dyDescent="0.25">
      <c r="C330" s="384"/>
      <c r="G330" s="385"/>
      <c r="H330" s="386"/>
      <c r="I330" s="385"/>
      <c r="J330" s="385"/>
      <c r="K330" s="385"/>
      <c r="L330" s="385"/>
      <c r="M330" s="385"/>
    </row>
    <row r="331" spans="2:14" x14ac:dyDescent="0.25">
      <c r="B331" s="570"/>
      <c r="C331" s="390"/>
      <c r="G331" s="385"/>
      <c r="H331" s="386"/>
      <c r="I331" s="385"/>
      <c r="J331" s="385"/>
      <c r="K331" s="385"/>
      <c r="L331" s="385"/>
      <c r="M331" s="385"/>
    </row>
    <row r="332" spans="2:14" x14ac:dyDescent="0.25">
      <c r="B332" s="379"/>
      <c r="C332" s="384"/>
      <c r="G332" s="385"/>
      <c r="H332" s="386"/>
      <c r="I332" s="385"/>
      <c r="J332" s="385"/>
      <c r="K332" s="385"/>
      <c r="L332" s="385"/>
      <c r="M332" s="385"/>
    </row>
    <row r="333" spans="2:14" x14ac:dyDescent="0.25">
      <c r="B333" s="379"/>
      <c r="C333" s="384"/>
      <c r="G333" s="385"/>
      <c r="H333" s="386"/>
      <c r="I333" s="385"/>
      <c r="J333" s="385"/>
      <c r="K333" s="385"/>
      <c r="L333" s="385"/>
      <c r="M333" s="385"/>
    </row>
    <row r="334" spans="2:14" x14ac:dyDescent="0.25">
      <c r="C334" s="390"/>
      <c r="G334" s="385"/>
      <c r="H334" s="386"/>
      <c r="I334" s="385"/>
      <c r="J334" s="385"/>
      <c r="K334" s="385"/>
      <c r="L334" s="385"/>
      <c r="M334" s="385"/>
    </row>
    <row r="335" spans="2:14" x14ac:dyDescent="0.25">
      <c r="G335" s="385"/>
      <c r="H335" s="386"/>
      <c r="I335" s="385"/>
      <c r="J335" s="385"/>
      <c r="K335" s="385"/>
      <c r="L335" s="385"/>
      <c r="M335" s="385"/>
    </row>
    <row r="336" spans="2:14" x14ac:dyDescent="0.25">
      <c r="K336" s="391"/>
      <c r="L336" s="391"/>
      <c r="M336" s="391"/>
      <c r="N336" s="392"/>
    </row>
    <row r="337" spans="11:14" x14ac:dyDescent="0.25">
      <c r="K337" s="391"/>
      <c r="L337" s="391"/>
      <c r="M337" s="391"/>
      <c r="N337" s="392"/>
    </row>
    <row r="338" spans="11:14" x14ac:dyDescent="0.25">
      <c r="K338" s="391"/>
      <c r="L338" s="391"/>
      <c r="M338" s="391"/>
      <c r="N338" s="392"/>
    </row>
    <row r="339" spans="11:14" x14ac:dyDescent="0.25">
      <c r="K339" s="391"/>
      <c r="L339" s="391"/>
      <c r="M339" s="391"/>
      <c r="N339" s="392"/>
    </row>
    <row r="340" spans="11:14" x14ac:dyDescent="0.25">
      <c r="K340" s="391"/>
      <c r="L340" s="391"/>
      <c r="M340" s="391"/>
      <c r="N340" s="392"/>
    </row>
    <row r="341" spans="11:14" x14ac:dyDescent="0.25">
      <c r="K341" s="391"/>
      <c r="L341" s="391"/>
      <c r="M341" s="391"/>
    </row>
  </sheetData>
  <protectedRanges>
    <protectedRange sqref="I17:J17" name="Range1_1"/>
  </protectedRanges>
  <autoFilter ref="A9:H63"/>
  <mergeCells count="12">
    <mergeCell ref="A63:D63"/>
    <mergeCell ref="G63:H63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0" tint="-0.499984740745262"/>
    <pageSetUpPr fitToPage="1"/>
  </sheetPr>
  <dimension ref="A1:Z189"/>
  <sheetViews>
    <sheetView view="pageBreakPreview" zoomScale="70" zoomScaleNormal="60" zoomScaleSheetLayoutView="70" workbookViewId="0">
      <pane xSplit="6" ySplit="12" topLeftCell="G48" activePane="bottomRight" state="frozen"/>
      <selection activeCell="V52" sqref="V52"/>
      <selection pane="topRight" activeCell="V52" sqref="V52"/>
      <selection pane="bottomLeft" activeCell="V52" sqref="V52"/>
      <selection pane="bottomRight" activeCell="U78" sqref="U78"/>
    </sheetView>
  </sheetViews>
  <sheetFormatPr defaultRowHeight="18" outlineLevelRow="1" x14ac:dyDescent="0.25"/>
  <cols>
    <col min="1" max="1" width="2.5703125" style="3" customWidth="1"/>
    <col min="2" max="2" width="9.140625" style="5"/>
    <col min="3" max="4" width="9.140625" style="3"/>
    <col min="5" max="5" width="16.140625" style="3" customWidth="1"/>
    <col min="6" max="6" width="56.85546875" style="3" customWidth="1"/>
    <col min="7" max="15" width="19.28515625" style="2" hidden="1" customWidth="1"/>
    <col min="16" max="18" width="19.28515625" style="14" customWidth="1"/>
    <col min="19" max="19" width="6.28515625" style="52" customWidth="1"/>
    <col min="20" max="20" width="12" style="582" customWidth="1"/>
    <col min="21" max="21" width="10.5703125" style="583" bestFit="1" customWidth="1"/>
    <col min="22" max="255" width="9.140625" style="3"/>
    <col min="256" max="256" width="21.42578125" style="3" customWidth="1"/>
    <col min="257" max="257" width="10.7109375" style="3" customWidth="1"/>
    <col min="258" max="259" width="9.85546875" style="3" bestFit="1" customWidth="1"/>
    <col min="260" max="260" width="9.28515625" style="3" bestFit="1" customWidth="1"/>
    <col min="261" max="261" width="10.140625" style="3" customWidth="1"/>
    <col min="262" max="262" width="10.85546875" style="3" bestFit="1" customWidth="1"/>
    <col min="263" max="263" width="10.7109375" style="3" customWidth="1"/>
    <col min="264" max="264" width="11.28515625" style="3" bestFit="1" customWidth="1"/>
    <col min="265" max="265" width="10.85546875" style="3" bestFit="1" customWidth="1"/>
    <col min="266" max="266" width="9.85546875" style="3" bestFit="1" customWidth="1"/>
    <col min="267" max="267" width="10.85546875" style="3" customWidth="1"/>
    <col min="268" max="268" width="10.140625" style="3" customWidth="1"/>
    <col min="269" max="269" width="11.5703125" style="3" customWidth="1"/>
    <col min="270" max="270" width="11.28515625" style="3" bestFit="1" customWidth="1"/>
    <col min="271" max="271" width="9.5703125" style="3" customWidth="1"/>
    <col min="272" max="272" width="9.7109375" style="3" bestFit="1" customWidth="1"/>
    <col min="273" max="273" width="10.7109375" style="3" customWidth="1"/>
    <col min="274" max="274" width="11" style="3" customWidth="1"/>
    <col min="275" max="511" width="9.140625" style="3"/>
    <col min="512" max="512" width="21.42578125" style="3" customWidth="1"/>
    <col min="513" max="513" width="10.7109375" style="3" customWidth="1"/>
    <col min="514" max="515" width="9.85546875" style="3" bestFit="1" customWidth="1"/>
    <col min="516" max="516" width="9.28515625" style="3" bestFit="1" customWidth="1"/>
    <col min="517" max="517" width="10.140625" style="3" customWidth="1"/>
    <col min="518" max="518" width="10.85546875" style="3" bestFit="1" customWidth="1"/>
    <col min="519" max="519" width="10.7109375" style="3" customWidth="1"/>
    <col min="520" max="520" width="11.28515625" style="3" bestFit="1" customWidth="1"/>
    <col min="521" max="521" width="10.85546875" style="3" bestFit="1" customWidth="1"/>
    <col min="522" max="522" width="9.85546875" style="3" bestFit="1" customWidth="1"/>
    <col min="523" max="523" width="10.85546875" style="3" customWidth="1"/>
    <col min="524" max="524" width="10.140625" style="3" customWidth="1"/>
    <col min="525" max="525" width="11.5703125" style="3" customWidth="1"/>
    <col min="526" max="526" width="11.28515625" style="3" bestFit="1" customWidth="1"/>
    <col min="527" max="527" width="9.5703125" style="3" customWidth="1"/>
    <col min="528" max="528" width="9.7109375" style="3" bestFit="1" customWidth="1"/>
    <col min="529" max="529" width="10.7109375" style="3" customWidth="1"/>
    <col min="530" max="530" width="11" style="3" customWidth="1"/>
    <col min="531" max="767" width="9.140625" style="3"/>
    <col min="768" max="768" width="21.42578125" style="3" customWidth="1"/>
    <col min="769" max="769" width="10.7109375" style="3" customWidth="1"/>
    <col min="770" max="771" width="9.85546875" style="3" bestFit="1" customWidth="1"/>
    <col min="772" max="772" width="9.28515625" style="3" bestFit="1" customWidth="1"/>
    <col min="773" max="773" width="10.140625" style="3" customWidth="1"/>
    <col min="774" max="774" width="10.85546875" style="3" bestFit="1" customWidth="1"/>
    <col min="775" max="775" width="10.7109375" style="3" customWidth="1"/>
    <col min="776" max="776" width="11.28515625" style="3" bestFit="1" customWidth="1"/>
    <col min="777" max="777" width="10.85546875" style="3" bestFit="1" customWidth="1"/>
    <col min="778" max="778" width="9.85546875" style="3" bestFit="1" customWidth="1"/>
    <col min="779" max="779" width="10.85546875" style="3" customWidth="1"/>
    <col min="780" max="780" width="10.140625" style="3" customWidth="1"/>
    <col min="781" max="781" width="11.5703125" style="3" customWidth="1"/>
    <col min="782" max="782" width="11.28515625" style="3" bestFit="1" customWidth="1"/>
    <col min="783" max="783" width="9.5703125" style="3" customWidth="1"/>
    <col min="784" max="784" width="9.7109375" style="3" bestFit="1" customWidth="1"/>
    <col min="785" max="785" width="10.7109375" style="3" customWidth="1"/>
    <col min="786" max="786" width="11" style="3" customWidth="1"/>
    <col min="787" max="1023" width="9.140625" style="3"/>
    <col min="1024" max="1024" width="21.42578125" style="3" customWidth="1"/>
    <col min="1025" max="1025" width="10.7109375" style="3" customWidth="1"/>
    <col min="1026" max="1027" width="9.85546875" style="3" bestFit="1" customWidth="1"/>
    <col min="1028" max="1028" width="9.28515625" style="3" bestFit="1" customWidth="1"/>
    <col min="1029" max="1029" width="10.140625" style="3" customWidth="1"/>
    <col min="1030" max="1030" width="10.85546875" style="3" bestFit="1" customWidth="1"/>
    <col min="1031" max="1031" width="10.7109375" style="3" customWidth="1"/>
    <col min="1032" max="1032" width="11.28515625" style="3" bestFit="1" customWidth="1"/>
    <col min="1033" max="1033" width="10.85546875" style="3" bestFit="1" customWidth="1"/>
    <col min="1034" max="1034" width="9.85546875" style="3" bestFit="1" customWidth="1"/>
    <col min="1035" max="1035" width="10.85546875" style="3" customWidth="1"/>
    <col min="1036" max="1036" width="10.140625" style="3" customWidth="1"/>
    <col min="1037" max="1037" width="11.5703125" style="3" customWidth="1"/>
    <col min="1038" max="1038" width="11.28515625" style="3" bestFit="1" customWidth="1"/>
    <col min="1039" max="1039" width="9.5703125" style="3" customWidth="1"/>
    <col min="1040" max="1040" width="9.7109375" style="3" bestFit="1" customWidth="1"/>
    <col min="1041" max="1041" width="10.7109375" style="3" customWidth="1"/>
    <col min="1042" max="1042" width="11" style="3" customWidth="1"/>
    <col min="1043" max="1279" width="9.140625" style="3"/>
    <col min="1280" max="1280" width="21.42578125" style="3" customWidth="1"/>
    <col min="1281" max="1281" width="10.7109375" style="3" customWidth="1"/>
    <col min="1282" max="1283" width="9.85546875" style="3" bestFit="1" customWidth="1"/>
    <col min="1284" max="1284" width="9.28515625" style="3" bestFit="1" customWidth="1"/>
    <col min="1285" max="1285" width="10.140625" style="3" customWidth="1"/>
    <col min="1286" max="1286" width="10.85546875" style="3" bestFit="1" customWidth="1"/>
    <col min="1287" max="1287" width="10.7109375" style="3" customWidth="1"/>
    <col min="1288" max="1288" width="11.28515625" style="3" bestFit="1" customWidth="1"/>
    <col min="1289" max="1289" width="10.85546875" style="3" bestFit="1" customWidth="1"/>
    <col min="1290" max="1290" width="9.85546875" style="3" bestFit="1" customWidth="1"/>
    <col min="1291" max="1291" width="10.85546875" style="3" customWidth="1"/>
    <col min="1292" max="1292" width="10.140625" style="3" customWidth="1"/>
    <col min="1293" max="1293" width="11.5703125" style="3" customWidth="1"/>
    <col min="1294" max="1294" width="11.28515625" style="3" bestFit="1" customWidth="1"/>
    <col min="1295" max="1295" width="9.5703125" style="3" customWidth="1"/>
    <col min="1296" max="1296" width="9.7109375" style="3" bestFit="1" customWidth="1"/>
    <col min="1297" max="1297" width="10.7109375" style="3" customWidth="1"/>
    <col min="1298" max="1298" width="11" style="3" customWidth="1"/>
    <col min="1299" max="1535" width="9.140625" style="3"/>
    <col min="1536" max="1536" width="21.42578125" style="3" customWidth="1"/>
    <col min="1537" max="1537" width="10.7109375" style="3" customWidth="1"/>
    <col min="1538" max="1539" width="9.85546875" style="3" bestFit="1" customWidth="1"/>
    <col min="1540" max="1540" width="9.28515625" style="3" bestFit="1" customWidth="1"/>
    <col min="1541" max="1541" width="10.140625" style="3" customWidth="1"/>
    <col min="1542" max="1542" width="10.85546875" style="3" bestFit="1" customWidth="1"/>
    <col min="1543" max="1543" width="10.7109375" style="3" customWidth="1"/>
    <col min="1544" max="1544" width="11.28515625" style="3" bestFit="1" customWidth="1"/>
    <col min="1545" max="1545" width="10.85546875" style="3" bestFit="1" customWidth="1"/>
    <col min="1546" max="1546" width="9.85546875" style="3" bestFit="1" customWidth="1"/>
    <col min="1547" max="1547" width="10.85546875" style="3" customWidth="1"/>
    <col min="1548" max="1548" width="10.140625" style="3" customWidth="1"/>
    <col min="1549" max="1549" width="11.5703125" style="3" customWidth="1"/>
    <col min="1550" max="1550" width="11.28515625" style="3" bestFit="1" customWidth="1"/>
    <col min="1551" max="1551" width="9.5703125" style="3" customWidth="1"/>
    <col min="1552" max="1552" width="9.7109375" style="3" bestFit="1" customWidth="1"/>
    <col min="1553" max="1553" width="10.7109375" style="3" customWidth="1"/>
    <col min="1554" max="1554" width="11" style="3" customWidth="1"/>
    <col min="1555" max="1791" width="9.140625" style="3"/>
    <col min="1792" max="1792" width="21.42578125" style="3" customWidth="1"/>
    <col min="1793" max="1793" width="10.7109375" style="3" customWidth="1"/>
    <col min="1794" max="1795" width="9.85546875" style="3" bestFit="1" customWidth="1"/>
    <col min="1796" max="1796" width="9.28515625" style="3" bestFit="1" customWidth="1"/>
    <col min="1797" max="1797" width="10.140625" style="3" customWidth="1"/>
    <col min="1798" max="1798" width="10.85546875" style="3" bestFit="1" customWidth="1"/>
    <col min="1799" max="1799" width="10.7109375" style="3" customWidth="1"/>
    <col min="1800" max="1800" width="11.28515625" style="3" bestFit="1" customWidth="1"/>
    <col min="1801" max="1801" width="10.85546875" style="3" bestFit="1" customWidth="1"/>
    <col min="1802" max="1802" width="9.85546875" style="3" bestFit="1" customWidth="1"/>
    <col min="1803" max="1803" width="10.85546875" style="3" customWidth="1"/>
    <col min="1804" max="1804" width="10.140625" style="3" customWidth="1"/>
    <col min="1805" max="1805" width="11.5703125" style="3" customWidth="1"/>
    <col min="1806" max="1806" width="11.28515625" style="3" bestFit="1" customWidth="1"/>
    <col min="1807" max="1807" width="9.5703125" style="3" customWidth="1"/>
    <col min="1808" max="1808" width="9.7109375" style="3" bestFit="1" customWidth="1"/>
    <col min="1809" max="1809" width="10.7109375" style="3" customWidth="1"/>
    <col min="1810" max="1810" width="11" style="3" customWidth="1"/>
    <col min="1811" max="2047" width="9.140625" style="3"/>
    <col min="2048" max="2048" width="21.42578125" style="3" customWidth="1"/>
    <col min="2049" max="2049" width="10.7109375" style="3" customWidth="1"/>
    <col min="2050" max="2051" width="9.85546875" style="3" bestFit="1" customWidth="1"/>
    <col min="2052" max="2052" width="9.28515625" style="3" bestFit="1" customWidth="1"/>
    <col min="2053" max="2053" width="10.140625" style="3" customWidth="1"/>
    <col min="2054" max="2054" width="10.85546875" style="3" bestFit="1" customWidth="1"/>
    <col min="2055" max="2055" width="10.7109375" style="3" customWidth="1"/>
    <col min="2056" max="2056" width="11.28515625" style="3" bestFit="1" customWidth="1"/>
    <col min="2057" max="2057" width="10.85546875" style="3" bestFit="1" customWidth="1"/>
    <col min="2058" max="2058" width="9.85546875" style="3" bestFit="1" customWidth="1"/>
    <col min="2059" max="2059" width="10.85546875" style="3" customWidth="1"/>
    <col min="2060" max="2060" width="10.140625" style="3" customWidth="1"/>
    <col min="2061" max="2061" width="11.5703125" style="3" customWidth="1"/>
    <col min="2062" max="2062" width="11.28515625" style="3" bestFit="1" customWidth="1"/>
    <col min="2063" max="2063" width="9.5703125" style="3" customWidth="1"/>
    <col min="2064" max="2064" width="9.7109375" style="3" bestFit="1" customWidth="1"/>
    <col min="2065" max="2065" width="10.7109375" style="3" customWidth="1"/>
    <col min="2066" max="2066" width="11" style="3" customWidth="1"/>
    <col min="2067" max="2303" width="9.140625" style="3"/>
    <col min="2304" max="2304" width="21.42578125" style="3" customWidth="1"/>
    <col min="2305" max="2305" width="10.7109375" style="3" customWidth="1"/>
    <col min="2306" max="2307" width="9.85546875" style="3" bestFit="1" customWidth="1"/>
    <col min="2308" max="2308" width="9.28515625" style="3" bestFit="1" customWidth="1"/>
    <col min="2309" max="2309" width="10.140625" style="3" customWidth="1"/>
    <col min="2310" max="2310" width="10.85546875" style="3" bestFit="1" customWidth="1"/>
    <col min="2311" max="2311" width="10.7109375" style="3" customWidth="1"/>
    <col min="2312" max="2312" width="11.28515625" style="3" bestFit="1" customWidth="1"/>
    <col min="2313" max="2313" width="10.85546875" style="3" bestFit="1" customWidth="1"/>
    <col min="2314" max="2314" width="9.85546875" style="3" bestFit="1" customWidth="1"/>
    <col min="2315" max="2315" width="10.85546875" style="3" customWidth="1"/>
    <col min="2316" max="2316" width="10.140625" style="3" customWidth="1"/>
    <col min="2317" max="2317" width="11.5703125" style="3" customWidth="1"/>
    <col min="2318" max="2318" width="11.28515625" style="3" bestFit="1" customWidth="1"/>
    <col min="2319" max="2319" width="9.5703125" style="3" customWidth="1"/>
    <col min="2320" max="2320" width="9.7109375" style="3" bestFit="1" customWidth="1"/>
    <col min="2321" max="2321" width="10.7109375" style="3" customWidth="1"/>
    <col min="2322" max="2322" width="11" style="3" customWidth="1"/>
    <col min="2323" max="2559" width="9.140625" style="3"/>
    <col min="2560" max="2560" width="21.42578125" style="3" customWidth="1"/>
    <col min="2561" max="2561" width="10.7109375" style="3" customWidth="1"/>
    <col min="2562" max="2563" width="9.85546875" style="3" bestFit="1" customWidth="1"/>
    <col min="2564" max="2564" width="9.28515625" style="3" bestFit="1" customWidth="1"/>
    <col min="2565" max="2565" width="10.140625" style="3" customWidth="1"/>
    <col min="2566" max="2566" width="10.85546875" style="3" bestFit="1" customWidth="1"/>
    <col min="2567" max="2567" width="10.7109375" style="3" customWidth="1"/>
    <col min="2568" max="2568" width="11.28515625" style="3" bestFit="1" customWidth="1"/>
    <col min="2569" max="2569" width="10.85546875" style="3" bestFit="1" customWidth="1"/>
    <col min="2570" max="2570" width="9.85546875" style="3" bestFit="1" customWidth="1"/>
    <col min="2571" max="2571" width="10.85546875" style="3" customWidth="1"/>
    <col min="2572" max="2572" width="10.140625" style="3" customWidth="1"/>
    <col min="2573" max="2573" width="11.5703125" style="3" customWidth="1"/>
    <col min="2574" max="2574" width="11.28515625" style="3" bestFit="1" customWidth="1"/>
    <col min="2575" max="2575" width="9.5703125" style="3" customWidth="1"/>
    <col min="2576" max="2576" width="9.7109375" style="3" bestFit="1" customWidth="1"/>
    <col min="2577" max="2577" width="10.7109375" style="3" customWidth="1"/>
    <col min="2578" max="2578" width="11" style="3" customWidth="1"/>
    <col min="2579" max="2815" width="9.140625" style="3"/>
    <col min="2816" max="2816" width="21.42578125" style="3" customWidth="1"/>
    <col min="2817" max="2817" width="10.7109375" style="3" customWidth="1"/>
    <col min="2818" max="2819" width="9.85546875" style="3" bestFit="1" customWidth="1"/>
    <col min="2820" max="2820" width="9.28515625" style="3" bestFit="1" customWidth="1"/>
    <col min="2821" max="2821" width="10.140625" style="3" customWidth="1"/>
    <col min="2822" max="2822" width="10.85546875" style="3" bestFit="1" customWidth="1"/>
    <col min="2823" max="2823" width="10.7109375" style="3" customWidth="1"/>
    <col min="2824" max="2824" width="11.28515625" style="3" bestFit="1" customWidth="1"/>
    <col min="2825" max="2825" width="10.85546875" style="3" bestFit="1" customWidth="1"/>
    <col min="2826" max="2826" width="9.85546875" style="3" bestFit="1" customWidth="1"/>
    <col min="2827" max="2827" width="10.85546875" style="3" customWidth="1"/>
    <col min="2828" max="2828" width="10.140625" style="3" customWidth="1"/>
    <col min="2829" max="2829" width="11.5703125" style="3" customWidth="1"/>
    <col min="2830" max="2830" width="11.28515625" style="3" bestFit="1" customWidth="1"/>
    <col min="2831" max="2831" width="9.5703125" style="3" customWidth="1"/>
    <col min="2832" max="2832" width="9.7109375" style="3" bestFit="1" customWidth="1"/>
    <col min="2833" max="2833" width="10.7109375" style="3" customWidth="1"/>
    <col min="2834" max="2834" width="11" style="3" customWidth="1"/>
    <col min="2835" max="3071" width="9.140625" style="3"/>
    <col min="3072" max="3072" width="21.42578125" style="3" customWidth="1"/>
    <col min="3073" max="3073" width="10.7109375" style="3" customWidth="1"/>
    <col min="3074" max="3075" width="9.85546875" style="3" bestFit="1" customWidth="1"/>
    <col min="3076" max="3076" width="9.28515625" style="3" bestFit="1" customWidth="1"/>
    <col min="3077" max="3077" width="10.140625" style="3" customWidth="1"/>
    <col min="3078" max="3078" width="10.85546875" style="3" bestFit="1" customWidth="1"/>
    <col min="3079" max="3079" width="10.7109375" style="3" customWidth="1"/>
    <col min="3080" max="3080" width="11.28515625" style="3" bestFit="1" customWidth="1"/>
    <col min="3081" max="3081" width="10.85546875" style="3" bestFit="1" customWidth="1"/>
    <col min="3082" max="3082" width="9.85546875" style="3" bestFit="1" customWidth="1"/>
    <col min="3083" max="3083" width="10.85546875" style="3" customWidth="1"/>
    <col min="3084" max="3084" width="10.140625" style="3" customWidth="1"/>
    <col min="3085" max="3085" width="11.5703125" style="3" customWidth="1"/>
    <col min="3086" max="3086" width="11.28515625" style="3" bestFit="1" customWidth="1"/>
    <col min="3087" max="3087" width="9.5703125" style="3" customWidth="1"/>
    <col min="3088" max="3088" width="9.7109375" style="3" bestFit="1" customWidth="1"/>
    <col min="3089" max="3089" width="10.7109375" style="3" customWidth="1"/>
    <col min="3090" max="3090" width="11" style="3" customWidth="1"/>
    <col min="3091" max="3327" width="9.140625" style="3"/>
    <col min="3328" max="3328" width="21.42578125" style="3" customWidth="1"/>
    <col min="3329" max="3329" width="10.7109375" style="3" customWidth="1"/>
    <col min="3330" max="3331" width="9.85546875" style="3" bestFit="1" customWidth="1"/>
    <col min="3332" max="3332" width="9.28515625" style="3" bestFit="1" customWidth="1"/>
    <col min="3333" max="3333" width="10.140625" style="3" customWidth="1"/>
    <col min="3334" max="3334" width="10.85546875" style="3" bestFit="1" customWidth="1"/>
    <col min="3335" max="3335" width="10.7109375" style="3" customWidth="1"/>
    <col min="3336" max="3336" width="11.28515625" style="3" bestFit="1" customWidth="1"/>
    <col min="3337" max="3337" width="10.85546875" style="3" bestFit="1" customWidth="1"/>
    <col min="3338" max="3338" width="9.85546875" style="3" bestFit="1" customWidth="1"/>
    <col min="3339" max="3339" width="10.85546875" style="3" customWidth="1"/>
    <col min="3340" max="3340" width="10.140625" style="3" customWidth="1"/>
    <col min="3341" max="3341" width="11.5703125" style="3" customWidth="1"/>
    <col min="3342" max="3342" width="11.28515625" style="3" bestFit="1" customWidth="1"/>
    <col min="3343" max="3343" width="9.5703125" style="3" customWidth="1"/>
    <col min="3344" max="3344" width="9.7109375" style="3" bestFit="1" customWidth="1"/>
    <col min="3345" max="3345" width="10.7109375" style="3" customWidth="1"/>
    <col min="3346" max="3346" width="11" style="3" customWidth="1"/>
    <col min="3347" max="3583" width="9.140625" style="3"/>
    <col min="3584" max="3584" width="21.42578125" style="3" customWidth="1"/>
    <col min="3585" max="3585" width="10.7109375" style="3" customWidth="1"/>
    <col min="3586" max="3587" width="9.85546875" style="3" bestFit="1" customWidth="1"/>
    <col min="3588" max="3588" width="9.28515625" style="3" bestFit="1" customWidth="1"/>
    <col min="3589" max="3589" width="10.140625" style="3" customWidth="1"/>
    <col min="3590" max="3590" width="10.85546875" style="3" bestFit="1" customWidth="1"/>
    <col min="3591" max="3591" width="10.7109375" style="3" customWidth="1"/>
    <col min="3592" max="3592" width="11.28515625" style="3" bestFit="1" customWidth="1"/>
    <col min="3593" max="3593" width="10.85546875" style="3" bestFit="1" customWidth="1"/>
    <col min="3594" max="3594" width="9.85546875" style="3" bestFit="1" customWidth="1"/>
    <col min="3595" max="3595" width="10.85546875" style="3" customWidth="1"/>
    <col min="3596" max="3596" width="10.140625" style="3" customWidth="1"/>
    <col min="3597" max="3597" width="11.5703125" style="3" customWidth="1"/>
    <col min="3598" max="3598" width="11.28515625" style="3" bestFit="1" customWidth="1"/>
    <col min="3599" max="3599" width="9.5703125" style="3" customWidth="1"/>
    <col min="3600" max="3600" width="9.7109375" style="3" bestFit="1" customWidth="1"/>
    <col min="3601" max="3601" width="10.7109375" style="3" customWidth="1"/>
    <col min="3602" max="3602" width="11" style="3" customWidth="1"/>
    <col min="3603" max="3839" width="9.140625" style="3"/>
    <col min="3840" max="3840" width="21.42578125" style="3" customWidth="1"/>
    <col min="3841" max="3841" width="10.7109375" style="3" customWidth="1"/>
    <col min="3842" max="3843" width="9.85546875" style="3" bestFit="1" customWidth="1"/>
    <col min="3844" max="3844" width="9.28515625" style="3" bestFit="1" customWidth="1"/>
    <col min="3845" max="3845" width="10.140625" style="3" customWidth="1"/>
    <col min="3846" max="3846" width="10.85546875" style="3" bestFit="1" customWidth="1"/>
    <col min="3847" max="3847" width="10.7109375" style="3" customWidth="1"/>
    <col min="3848" max="3848" width="11.28515625" style="3" bestFit="1" customWidth="1"/>
    <col min="3849" max="3849" width="10.85546875" style="3" bestFit="1" customWidth="1"/>
    <col min="3850" max="3850" width="9.85546875" style="3" bestFit="1" customWidth="1"/>
    <col min="3851" max="3851" width="10.85546875" style="3" customWidth="1"/>
    <col min="3852" max="3852" width="10.140625" style="3" customWidth="1"/>
    <col min="3853" max="3853" width="11.5703125" style="3" customWidth="1"/>
    <col min="3854" max="3854" width="11.28515625" style="3" bestFit="1" customWidth="1"/>
    <col min="3855" max="3855" width="9.5703125" style="3" customWidth="1"/>
    <col min="3856" max="3856" width="9.7109375" style="3" bestFit="1" customWidth="1"/>
    <col min="3857" max="3857" width="10.7109375" style="3" customWidth="1"/>
    <col min="3858" max="3858" width="11" style="3" customWidth="1"/>
    <col min="3859" max="4095" width="9.140625" style="3"/>
    <col min="4096" max="4096" width="21.42578125" style="3" customWidth="1"/>
    <col min="4097" max="4097" width="10.7109375" style="3" customWidth="1"/>
    <col min="4098" max="4099" width="9.85546875" style="3" bestFit="1" customWidth="1"/>
    <col min="4100" max="4100" width="9.28515625" style="3" bestFit="1" customWidth="1"/>
    <col min="4101" max="4101" width="10.140625" style="3" customWidth="1"/>
    <col min="4102" max="4102" width="10.85546875" style="3" bestFit="1" customWidth="1"/>
    <col min="4103" max="4103" width="10.7109375" style="3" customWidth="1"/>
    <col min="4104" max="4104" width="11.28515625" style="3" bestFit="1" customWidth="1"/>
    <col min="4105" max="4105" width="10.85546875" style="3" bestFit="1" customWidth="1"/>
    <col min="4106" max="4106" width="9.85546875" style="3" bestFit="1" customWidth="1"/>
    <col min="4107" max="4107" width="10.85546875" style="3" customWidth="1"/>
    <col min="4108" max="4108" width="10.140625" style="3" customWidth="1"/>
    <col min="4109" max="4109" width="11.5703125" style="3" customWidth="1"/>
    <col min="4110" max="4110" width="11.28515625" style="3" bestFit="1" customWidth="1"/>
    <col min="4111" max="4111" width="9.5703125" style="3" customWidth="1"/>
    <col min="4112" max="4112" width="9.7109375" style="3" bestFit="1" customWidth="1"/>
    <col min="4113" max="4113" width="10.7109375" style="3" customWidth="1"/>
    <col min="4114" max="4114" width="11" style="3" customWidth="1"/>
    <col min="4115" max="4351" width="9.140625" style="3"/>
    <col min="4352" max="4352" width="21.42578125" style="3" customWidth="1"/>
    <col min="4353" max="4353" width="10.7109375" style="3" customWidth="1"/>
    <col min="4354" max="4355" width="9.85546875" style="3" bestFit="1" customWidth="1"/>
    <col min="4356" max="4356" width="9.28515625" style="3" bestFit="1" customWidth="1"/>
    <col min="4357" max="4357" width="10.140625" style="3" customWidth="1"/>
    <col min="4358" max="4358" width="10.85546875" style="3" bestFit="1" customWidth="1"/>
    <col min="4359" max="4359" width="10.7109375" style="3" customWidth="1"/>
    <col min="4360" max="4360" width="11.28515625" style="3" bestFit="1" customWidth="1"/>
    <col min="4361" max="4361" width="10.85546875" style="3" bestFit="1" customWidth="1"/>
    <col min="4362" max="4362" width="9.85546875" style="3" bestFit="1" customWidth="1"/>
    <col min="4363" max="4363" width="10.85546875" style="3" customWidth="1"/>
    <col min="4364" max="4364" width="10.140625" style="3" customWidth="1"/>
    <col min="4365" max="4365" width="11.5703125" style="3" customWidth="1"/>
    <col min="4366" max="4366" width="11.28515625" style="3" bestFit="1" customWidth="1"/>
    <col min="4367" max="4367" width="9.5703125" style="3" customWidth="1"/>
    <col min="4368" max="4368" width="9.7109375" style="3" bestFit="1" customWidth="1"/>
    <col min="4369" max="4369" width="10.7109375" style="3" customWidth="1"/>
    <col min="4370" max="4370" width="11" style="3" customWidth="1"/>
    <col min="4371" max="4607" width="9.140625" style="3"/>
    <col min="4608" max="4608" width="21.42578125" style="3" customWidth="1"/>
    <col min="4609" max="4609" width="10.7109375" style="3" customWidth="1"/>
    <col min="4610" max="4611" width="9.85546875" style="3" bestFit="1" customWidth="1"/>
    <col min="4612" max="4612" width="9.28515625" style="3" bestFit="1" customWidth="1"/>
    <col min="4613" max="4613" width="10.140625" style="3" customWidth="1"/>
    <col min="4614" max="4614" width="10.85546875" style="3" bestFit="1" customWidth="1"/>
    <col min="4615" max="4615" width="10.7109375" style="3" customWidth="1"/>
    <col min="4616" max="4616" width="11.28515625" style="3" bestFit="1" customWidth="1"/>
    <col min="4617" max="4617" width="10.85546875" style="3" bestFit="1" customWidth="1"/>
    <col min="4618" max="4618" width="9.85546875" style="3" bestFit="1" customWidth="1"/>
    <col min="4619" max="4619" width="10.85546875" style="3" customWidth="1"/>
    <col min="4620" max="4620" width="10.140625" style="3" customWidth="1"/>
    <col min="4621" max="4621" width="11.5703125" style="3" customWidth="1"/>
    <col min="4622" max="4622" width="11.28515625" style="3" bestFit="1" customWidth="1"/>
    <col min="4623" max="4623" width="9.5703125" style="3" customWidth="1"/>
    <col min="4624" max="4624" width="9.7109375" style="3" bestFit="1" customWidth="1"/>
    <col min="4625" max="4625" width="10.7109375" style="3" customWidth="1"/>
    <col min="4626" max="4626" width="11" style="3" customWidth="1"/>
    <col min="4627" max="4863" width="9.140625" style="3"/>
    <col min="4864" max="4864" width="21.42578125" style="3" customWidth="1"/>
    <col min="4865" max="4865" width="10.7109375" style="3" customWidth="1"/>
    <col min="4866" max="4867" width="9.85546875" style="3" bestFit="1" customWidth="1"/>
    <col min="4868" max="4868" width="9.28515625" style="3" bestFit="1" customWidth="1"/>
    <col min="4869" max="4869" width="10.140625" style="3" customWidth="1"/>
    <col min="4870" max="4870" width="10.85546875" style="3" bestFit="1" customWidth="1"/>
    <col min="4871" max="4871" width="10.7109375" style="3" customWidth="1"/>
    <col min="4872" max="4872" width="11.28515625" style="3" bestFit="1" customWidth="1"/>
    <col min="4873" max="4873" width="10.85546875" style="3" bestFit="1" customWidth="1"/>
    <col min="4874" max="4874" width="9.85546875" style="3" bestFit="1" customWidth="1"/>
    <col min="4875" max="4875" width="10.85546875" style="3" customWidth="1"/>
    <col min="4876" max="4876" width="10.140625" style="3" customWidth="1"/>
    <col min="4877" max="4877" width="11.5703125" style="3" customWidth="1"/>
    <col min="4878" max="4878" width="11.28515625" style="3" bestFit="1" customWidth="1"/>
    <col min="4879" max="4879" width="9.5703125" style="3" customWidth="1"/>
    <col min="4880" max="4880" width="9.7109375" style="3" bestFit="1" customWidth="1"/>
    <col min="4881" max="4881" width="10.7109375" style="3" customWidth="1"/>
    <col min="4882" max="4882" width="11" style="3" customWidth="1"/>
    <col min="4883" max="5119" width="9.140625" style="3"/>
    <col min="5120" max="5120" width="21.42578125" style="3" customWidth="1"/>
    <col min="5121" max="5121" width="10.7109375" style="3" customWidth="1"/>
    <col min="5122" max="5123" width="9.85546875" style="3" bestFit="1" customWidth="1"/>
    <col min="5124" max="5124" width="9.28515625" style="3" bestFit="1" customWidth="1"/>
    <col min="5125" max="5125" width="10.140625" style="3" customWidth="1"/>
    <col min="5126" max="5126" width="10.85546875" style="3" bestFit="1" customWidth="1"/>
    <col min="5127" max="5127" width="10.7109375" style="3" customWidth="1"/>
    <col min="5128" max="5128" width="11.28515625" style="3" bestFit="1" customWidth="1"/>
    <col min="5129" max="5129" width="10.85546875" style="3" bestFit="1" customWidth="1"/>
    <col min="5130" max="5130" width="9.85546875" style="3" bestFit="1" customWidth="1"/>
    <col min="5131" max="5131" width="10.85546875" style="3" customWidth="1"/>
    <col min="5132" max="5132" width="10.140625" style="3" customWidth="1"/>
    <col min="5133" max="5133" width="11.5703125" style="3" customWidth="1"/>
    <col min="5134" max="5134" width="11.28515625" style="3" bestFit="1" customWidth="1"/>
    <col min="5135" max="5135" width="9.5703125" style="3" customWidth="1"/>
    <col min="5136" max="5136" width="9.7109375" style="3" bestFit="1" customWidth="1"/>
    <col min="5137" max="5137" width="10.7109375" style="3" customWidth="1"/>
    <col min="5138" max="5138" width="11" style="3" customWidth="1"/>
    <col min="5139" max="5375" width="9.140625" style="3"/>
    <col min="5376" max="5376" width="21.42578125" style="3" customWidth="1"/>
    <col min="5377" max="5377" width="10.7109375" style="3" customWidth="1"/>
    <col min="5378" max="5379" width="9.85546875" style="3" bestFit="1" customWidth="1"/>
    <col min="5380" max="5380" width="9.28515625" style="3" bestFit="1" customWidth="1"/>
    <col min="5381" max="5381" width="10.140625" style="3" customWidth="1"/>
    <col min="5382" max="5382" width="10.85546875" style="3" bestFit="1" customWidth="1"/>
    <col min="5383" max="5383" width="10.7109375" style="3" customWidth="1"/>
    <col min="5384" max="5384" width="11.28515625" style="3" bestFit="1" customWidth="1"/>
    <col min="5385" max="5385" width="10.85546875" style="3" bestFit="1" customWidth="1"/>
    <col min="5386" max="5386" width="9.85546875" style="3" bestFit="1" customWidth="1"/>
    <col min="5387" max="5387" width="10.85546875" style="3" customWidth="1"/>
    <col min="5388" max="5388" width="10.140625" style="3" customWidth="1"/>
    <col min="5389" max="5389" width="11.5703125" style="3" customWidth="1"/>
    <col min="5390" max="5390" width="11.28515625" style="3" bestFit="1" customWidth="1"/>
    <col min="5391" max="5391" width="9.5703125" style="3" customWidth="1"/>
    <col min="5392" max="5392" width="9.7109375" style="3" bestFit="1" customWidth="1"/>
    <col min="5393" max="5393" width="10.7109375" style="3" customWidth="1"/>
    <col min="5394" max="5394" width="11" style="3" customWidth="1"/>
    <col min="5395" max="5631" width="9.140625" style="3"/>
    <col min="5632" max="5632" width="21.42578125" style="3" customWidth="1"/>
    <col min="5633" max="5633" width="10.7109375" style="3" customWidth="1"/>
    <col min="5634" max="5635" width="9.85546875" style="3" bestFit="1" customWidth="1"/>
    <col min="5636" max="5636" width="9.28515625" style="3" bestFit="1" customWidth="1"/>
    <col min="5637" max="5637" width="10.140625" style="3" customWidth="1"/>
    <col min="5638" max="5638" width="10.85546875" style="3" bestFit="1" customWidth="1"/>
    <col min="5639" max="5639" width="10.7109375" style="3" customWidth="1"/>
    <col min="5640" max="5640" width="11.28515625" style="3" bestFit="1" customWidth="1"/>
    <col min="5641" max="5641" width="10.85546875" style="3" bestFit="1" customWidth="1"/>
    <col min="5642" max="5642" width="9.85546875" style="3" bestFit="1" customWidth="1"/>
    <col min="5643" max="5643" width="10.85546875" style="3" customWidth="1"/>
    <col min="5644" max="5644" width="10.140625" style="3" customWidth="1"/>
    <col min="5645" max="5645" width="11.5703125" style="3" customWidth="1"/>
    <col min="5646" max="5646" width="11.28515625" style="3" bestFit="1" customWidth="1"/>
    <col min="5647" max="5647" width="9.5703125" style="3" customWidth="1"/>
    <col min="5648" max="5648" width="9.7109375" style="3" bestFit="1" customWidth="1"/>
    <col min="5649" max="5649" width="10.7109375" style="3" customWidth="1"/>
    <col min="5650" max="5650" width="11" style="3" customWidth="1"/>
    <col min="5651" max="5887" width="9.140625" style="3"/>
    <col min="5888" max="5888" width="21.42578125" style="3" customWidth="1"/>
    <col min="5889" max="5889" width="10.7109375" style="3" customWidth="1"/>
    <col min="5890" max="5891" width="9.85546875" style="3" bestFit="1" customWidth="1"/>
    <col min="5892" max="5892" width="9.28515625" style="3" bestFit="1" customWidth="1"/>
    <col min="5893" max="5893" width="10.140625" style="3" customWidth="1"/>
    <col min="5894" max="5894" width="10.85546875" style="3" bestFit="1" customWidth="1"/>
    <col min="5895" max="5895" width="10.7109375" style="3" customWidth="1"/>
    <col min="5896" max="5896" width="11.28515625" style="3" bestFit="1" customWidth="1"/>
    <col min="5897" max="5897" width="10.85546875" style="3" bestFit="1" customWidth="1"/>
    <col min="5898" max="5898" width="9.85546875" style="3" bestFit="1" customWidth="1"/>
    <col min="5899" max="5899" width="10.85546875" style="3" customWidth="1"/>
    <col min="5900" max="5900" width="10.140625" style="3" customWidth="1"/>
    <col min="5901" max="5901" width="11.5703125" style="3" customWidth="1"/>
    <col min="5902" max="5902" width="11.28515625" style="3" bestFit="1" customWidth="1"/>
    <col min="5903" max="5903" width="9.5703125" style="3" customWidth="1"/>
    <col min="5904" max="5904" width="9.7109375" style="3" bestFit="1" customWidth="1"/>
    <col min="5905" max="5905" width="10.7109375" style="3" customWidth="1"/>
    <col min="5906" max="5906" width="11" style="3" customWidth="1"/>
    <col min="5907" max="6143" width="9.140625" style="3"/>
    <col min="6144" max="6144" width="21.42578125" style="3" customWidth="1"/>
    <col min="6145" max="6145" width="10.7109375" style="3" customWidth="1"/>
    <col min="6146" max="6147" width="9.85546875" style="3" bestFit="1" customWidth="1"/>
    <col min="6148" max="6148" width="9.28515625" style="3" bestFit="1" customWidth="1"/>
    <col min="6149" max="6149" width="10.140625" style="3" customWidth="1"/>
    <col min="6150" max="6150" width="10.85546875" style="3" bestFit="1" customWidth="1"/>
    <col min="6151" max="6151" width="10.7109375" style="3" customWidth="1"/>
    <col min="6152" max="6152" width="11.28515625" style="3" bestFit="1" customWidth="1"/>
    <col min="6153" max="6153" width="10.85546875" style="3" bestFit="1" customWidth="1"/>
    <col min="6154" max="6154" width="9.85546875" style="3" bestFit="1" customWidth="1"/>
    <col min="6155" max="6155" width="10.85546875" style="3" customWidth="1"/>
    <col min="6156" max="6156" width="10.140625" style="3" customWidth="1"/>
    <col min="6157" max="6157" width="11.5703125" style="3" customWidth="1"/>
    <col min="6158" max="6158" width="11.28515625" style="3" bestFit="1" customWidth="1"/>
    <col min="6159" max="6159" width="9.5703125" style="3" customWidth="1"/>
    <col min="6160" max="6160" width="9.7109375" style="3" bestFit="1" customWidth="1"/>
    <col min="6161" max="6161" width="10.7109375" style="3" customWidth="1"/>
    <col min="6162" max="6162" width="11" style="3" customWidth="1"/>
    <col min="6163" max="6399" width="9.140625" style="3"/>
    <col min="6400" max="6400" width="21.42578125" style="3" customWidth="1"/>
    <col min="6401" max="6401" width="10.7109375" style="3" customWidth="1"/>
    <col min="6402" max="6403" width="9.85546875" style="3" bestFit="1" customWidth="1"/>
    <col min="6404" max="6404" width="9.28515625" style="3" bestFit="1" customWidth="1"/>
    <col min="6405" max="6405" width="10.140625" style="3" customWidth="1"/>
    <col min="6406" max="6406" width="10.85546875" style="3" bestFit="1" customWidth="1"/>
    <col min="6407" max="6407" width="10.7109375" style="3" customWidth="1"/>
    <col min="6408" max="6408" width="11.28515625" style="3" bestFit="1" customWidth="1"/>
    <col min="6409" max="6409" width="10.85546875" style="3" bestFit="1" customWidth="1"/>
    <col min="6410" max="6410" width="9.85546875" style="3" bestFit="1" customWidth="1"/>
    <col min="6411" max="6411" width="10.85546875" style="3" customWidth="1"/>
    <col min="6412" max="6412" width="10.140625" style="3" customWidth="1"/>
    <col min="6413" max="6413" width="11.5703125" style="3" customWidth="1"/>
    <col min="6414" max="6414" width="11.28515625" style="3" bestFit="1" customWidth="1"/>
    <col min="6415" max="6415" width="9.5703125" style="3" customWidth="1"/>
    <col min="6416" max="6416" width="9.7109375" style="3" bestFit="1" customWidth="1"/>
    <col min="6417" max="6417" width="10.7109375" style="3" customWidth="1"/>
    <col min="6418" max="6418" width="11" style="3" customWidth="1"/>
    <col min="6419" max="6655" width="9.140625" style="3"/>
    <col min="6656" max="6656" width="21.42578125" style="3" customWidth="1"/>
    <col min="6657" max="6657" width="10.7109375" style="3" customWidth="1"/>
    <col min="6658" max="6659" width="9.85546875" style="3" bestFit="1" customWidth="1"/>
    <col min="6660" max="6660" width="9.28515625" style="3" bestFit="1" customWidth="1"/>
    <col min="6661" max="6661" width="10.140625" style="3" customWidth="1"/>
    <col min="6662" max="6662" width="10.85546875" style="3" bestFit="1" customWidth="1"/>
    <col min="6663" max="6663" width="10.7109375" style="3" customWidth="1"/>
    <col min="6664" max="6664" width="11.28515625" style="3" bestFit="1" customWidth="1"/>
    <col min="6665" max="6665" width="10.85546875" style="3" bestFit="1" customWidth="1"/>
    <col min="6666" max="6666" width="9.85546875" style="3" bestFit="1" customWidth="1"/>
    <col min="6667" max="6667" width="10.85546875" style="3" customWidth="1"/>
    <col min="6668" max="6668" width="10.140625" style="3" customWidth="1"/>
    <col min="6669" max="6669" width="11.5703125" style="3" customWidth="1"/>
    <col min="6670" max="6670" width="11.28515625" style="3" bestFit="1" customWidth="1"/>
    <col min="6671" max="6671" width="9.5703125" style="3" customWidth="1"/>
    <col min="6672" max="6672" width="9.7109375" style="3" bestFit="1" customWidth="1"/>
    <col min="6673" max="6673" width="10.7109375" style="3" customWidth="1"/>
    <col min="6674" max="6674" width="11" style="3" customWidth="1"/>
    <col min="6675" max="6911" width="9.140625" style="3"/>
    <col min="6912" max="6912" width="21.42578125" style="3" customWidth="1"/>
    <col min="6913" max="6913" width="10.7109375" style="3" customWidth="1"/>
    <col min="6914" max="6915" width="9.85546875" style="3" bestFit="1" customWidth="1"/>
    <col min="6916" max="6916" width="9.28515625" style="3" bestFit="1" customWidth="1"/>
    <col min="6917" max="6917" width="10.140625" style="3" customWidth="1"/>
    <col min="6918" max="6918" width="10.85546875" style="3" bestFit="1" customWidth="1"/>
    <col min="6919" max="6919" width="10.7109375" style="3" customWidth="1"/>
    <col min="6920" max="6920" width="11.28515625" style="3" bestFit="1" customWidth="1"/>
    <col min="6921" max="6921" width="10.85546875" style="3" bestFit="1" customWidth="1"/>
    <col min="6922" max="6922" width="9.85546875" style="3" bestFit="1" customWidth="1"/>
    <col min="6923" max="6923" width="10.85546875" style="3" customWidth="1"/>
    <col min="6924" max="6924" width="10.140625" style="3" customWidth="1"/>
    <col min="6925" max="6925" width="11.5703125" style="3" customWidth="1"/>
    <col min="6926" max="6926" width="11.28515625" style="3" bestFit="1" customWidth="1"/>
    <col min="6927" max="6927" width="9.5703125" style="3" customWidth="1"/>
    <col min="6928" max="6928" width="9.7109375" style="3" bestFit="1" customWidth="1"/>
    <col min="6929" max="6929" width="10.7109375" style="3" customWidth="1"/>
    <col min="6930" max="6930" width="11" style="3" customWidth="1"/>
    <col min="6931" max="7167" width="9.140625" style="3"/>
    <col min="7168" max="7168" width="21.42578125" style="3" customWidth="1"/>
    <col min="7169" max="7169" width="10.7109375" style="3" customWidth="1"/>
    <col min="7170" max="7171" width="9.85546875" style="3" bestFit="1" customWidth="1"/>
    <col min="7172" max="7172" width="9.28515625" style="3" bestFit="1" customWidth="1"/>
    <col min="7173" max="7173" width="10.140625" style="3" customWidth="1"/>
    <col min="7174" max="7174" width="10.85546875" style="3" bestFit="1" customWidth="1"/>
    <col min="7175" max="7175" width="10.7109375" style="3" customWidth="1"/>
    <col min="7176" max="7176" width="11.28515625" style="3" bestFit="1" customWidth="1"/>
    <col min="7177" max="7177" width="10.85546875" style="3" bestFit="1" customWidth="1"/>
    <col min="7178" max="7178" width="9.85546875" style="3" bestFit="1" customWidth="1"/>
    <col min="7179" max="7179" width="10.85546875" style="3" customWidth="1"/>
    <col min="7180" max="7180" width="10.140625" style="3" customWidth="1"/>
    <col min="7181" max="7181" width="11.5703125" style="3" customWidth="1"/>
    <col min="7182" max="7182" width="11.28515625" style="3" bestFit="1" customWidth="1"/>
    <col min="7183" max="7183" width="9.5703125" style="3" customWidth="1"/>
    <col min="7184" max="7184" width="9.7109375" style="3" bestFit="1" customWidth="1"/>
    <col min="7185" max="7185" width="10.7109375" style="3" customWidth="1"/>
    <col min="7186" max="7186" width="11" style="3" customWidth="1"/>
    <col min="7187" max="7423" width="9.140625" style="3"/>
    <col min="7424" max="7424" width="21.42578125" style="3" customWidth="1"/>
    <col min="7425" max="7425" width="10.7109375" style="3" customWidth="1"/>
    <col min="7426" max="7427" width="9.85546875" style="3" bestFit="1" customWidth="1"/>
    <col min="7428" max="7428" width="9.28515625" style="3" bestFit="1" customWidth="1"/>
    <col min="7429" max="7429" width="10.140625" style="3" customWidth="1"/>
    <col min="7430" max="7430" width="10.85546875" style="3" bestFit="1" customWidth="1"/>
    <col min="7431" max="7431" width="10.7109375" style="3" customWidth="1"/>
    <col min="7432" max="7432" width="11.28515625" style="3" bestFit="1" customWidth="1"/>
    <col min="7433" max="7433" width="10.85546875" style="3" bestFit="1" customWidth="1"/>
    <col min="7434" max="7434" width="9.85546875" style="3" bestFit="1" customWidth="1"/>
    <col min="7435" max="7435" width="10.85546875" style="3" customWidth="1"/>
    <col min="7436" max="7436" width="10.140625" style="3" customWidth="1"/>
    <col min="7437" max="7437" width="11.5703125" style="3" customWidth="1"/>
    <col min="7438" max="7438" width="11.28515625" style="3" bestFit="1" customWidth="1"/>
    <col min="7439" max="7439" width="9.5703125" style="3" customWidth="1"/>
    <col min="7440" max="7440" width="9.7109375" style="3" bestFit="1" customWidth="1"/>
    <col min="7441" max="7441" width="10.7109375" style="3" customWidth="1"/>
    <col min="7442" max="7442" width="11" style="3" customWidth="1"/>
    <col min="7443" max="7679" width="9.140625" style="3"/>
    <col min="7680" max="7680" width="21.42578125" style="3" customWidth="1"/>
    <col min="7681" max="7681" width="10.7109375" style="3" customWidth="1"/>
    <col min="7682" max="7683" width="9.85546875" style="3" bestFit="1" customWidth="1"/>
    <col min="7684" max="7684" width="9.28515625" style="3" bestFit="1" customWidth="1"/>
    <col min="7685" max="7685" width="10.140625" style="3" customWidth="1"/>
    <col min="7686" max="7686" width="10.85546875" style="3" bestFit="1" customWidth="1"/>
    <col min="7687" max="7687" width="10.7109375" style="3" customWidth="1"/>
    <col min="7688" max="7688" width="11.28515625" style="3" bestFit="1" customWidth="1"/>
    <col min="7689" max="7689" width="10.85546875" style="3" bestFit="1" customWidth="1"/>
    <col min="7690" max="7690" width="9.85546875" style="3" bestFit="1" customWidth="1"/>
    <col min="7691" max="7691" width="10.85546875" style="3" customWidth="1"/>
    <col min="7692" max="7692" width="10.140625" style="3" customWidth="1"/>
    <col min="7693" max="7693" width="11.5703125" style="3" customWidth="1"/>
    <col min="7694" max="7694" width="11.28515625" style="3" bestFit="1" customWidth="1"/>
    <col min="7695" max="7695" width="9.5703125" style="3" customWidth="1"/>
    <col min="7696" max="7696" width="9.7109375" style="3" bestFit="1" customWidth="1"/>
    <col min="7697" max="7697" width="10.7109375" style="3" customWidth="1"/>
    <col min="7698" max="7698" width="11" style="3" customWidth="1"/>
    <col min="7699" max="7935" width="9.140625" style="3"/>
    <col min="7936" max="7936" width="21.42578125" style="3" customWidth="1"/>
    <col min="7937" max="7937" width="10.7109375" style="3" customWidth="1"/>
    <col min="7938" max="7939" width="9.85546875" style="3" bestFit="1" customWidth="1"/>
    <col min="7940" max="7940" width="9.28515625" style="3" bestFit="1" customWidth="1"/>
    <col min="7941" max="7941" width="10.140625" style="3" customWidth="1"/>
    <col min="7942" max="7942" width="10.85546875" style="3" bestFit="1" customWidth="1"/>
    <col min="7943" max="7943" width="10.7109375" style="3" customWidth="1"/>
    <col min="7944" max="7944" width="11.28515625" style="3" bestFit="1" customWidth="1"/>
    <col min="7945" max="7945" width="10.85546875" style="3" bestFit="1" customWidth="1"/>
    <col min="7946" max="7946" width="9.85546875" style="3" bestFit="1" customWidth="1"/>
    <col min="7947" max="7947" width="10.85546875" style="3" customWidth="1"/>
    <col min="7948" max="7948" width="10.140625" style="3" customWidth="1"/>
    <col min="7949" max="7949" width="11.5703125" style="3" customWidth="1"/>
    <col min="7950" max="7950" width="11.28515625" style="3" bestFit="1" customWidth="1"/>
    <col min="7951" max="7951" width="9.5703125" style="3" customWidth="1"/>
    <col min="7952" max="7952" width="9.7109375" style="3" bestFit="1" customWidth="1"/>
    <col min="7953" max="7953" width="10.7109375" style="3" customWidth="1"/>
    <col min="7954" max="7954" width="11" style="3" customWidth="1"/>
    <col min="7955" max="8191" width="9.140625" style="3"/>
    <col min="8192" max="8192" width="21.42578125" style="3" customWidth="1"/>
    <col min="8193" max="8193" width="10.7109375" style="3" customWidth="1"/>
    <col min="8194" max="8195" width="9.85546875" style="3" bestFit="1" customWidth="1"/>
    <col min="8196" max="8196" width="9.28515625" style="3" bestFit="1" customWidth="1"/>
    <col min="8197" max="8197" width="10.140625" style="3" customWidth="1"/>
    <col min="8198" max="8198" width="10.85546875" style="3" bestFit="1" customWidth="1"/>
    <col min="8199" max="8199" width="10.7109375" style="3" customWidth="1"/>
    <col min="8200" max="8200" width="11.28515625" style="3" bestFit="1" customWidth="1"/>
    <col min="8201" max="8201" width="10.85546875" style="3" bestFit="1" customWidth="1"/>
    <col min="8202" max="8202" width="9.85546875" style="3" bestFit="1" customWidth="1"/>
    <col min="8203" max="8203" width="10.85546875" style="3" customWidth="1"/>
    <col min="8204" max="8204" width="10.140625" style="3" customWidth="1"/>
    <col min="8205" max="8205" width="11.5703125" style="3" customWidth="1"/>
    <col min="8206" max="8206" width="11.28515625" style="3" bestFit="1" customWidth="1"/>
    <col min="8207" max="8207" width="9.5703125" style="3" customWidth="1"/>
    <col min="8208" max="8208" width="9.7109375" style="3" bestFit="1" customWidth="1"/>
    <col min="8209" max="8209" width="10.7109375" style="3" customWidth="1"/>
    <col min="8210" max="8210" width="11" style="3" customWidth="1"/>
    <col min="8211" max="8447" width="9.140625" style="3"/>
    <col min="8448" max="8448" width="21.42578125" style="3" customWidth="1"/>
    <col min="8449" max="8449" width="10.7109375" style="3" customWidth="1"/>
    <col min="8450" max="8451" width="9.85546875" style="3" bestFit="1" customWidth="1"/>
    <col min="8452" max="8452" width="9.28515625" style="3" bestFit="1" customWidth="1"/>
    <col min="8453" max="8453" width="10.140625" style="3" customWidth="1"/>
    <col min="8454" max="8454" width="10.85546875" style="3" bestFit="1" customWidth="1"/>
    <col min="8455" max="8455" width="10.7109375" style="3" customWidth="1"/>
    <col min="8456" max="8456" width="11.28515625" style="3" bestFit="1" customWidth="1"/>
    <col min="8457" max="8457" width="10.85546875" style="3" bestFit="1" customWidth="1"/>
    <col min="8458" max="8458" width="9.85546875" style="3" bestFit="1" customWidth="1"/>
    <col min="8459" max="8459" width="10.85546875" style="3" customWidth="1"/>
    <col min="8460" max="8460" width="10.140625" style="3" customWidth="1"/>
    <col min="8461" max="8461" width="11.5703125" style="3" customWidth="1"/>
    <col min="8462" max="8462" width="11.28515625" style="3" bestFit="1" customWidth="1"/>
    <col min="8463" max="8463" width="9.5703125" style="3" customWidth="1"/>
    <col min="8464" max="8464" width="9.7109375" style="3" bestFit="1" customWidth="1"/>
    <col min="8465" max="8465" width="10.7109375" style="3" customWidth="1"/>
    <col min="8466" max="8466" width="11" style="3" customWidth="1"/>
    <col min="8467" max="8703" width="9.140625" style="3"/>
    <col min="8704" max="8704" width="21.42578125" style="3" customWidth="1"/>
    <col min="8705" max="8705" width="10.7109375" style="3" customWidth="1"/>
    <col min="8706" max="8707" width="9.85546875" style="3" bestFit="1" customWidth="1"/>
    <col min="8708" max="8708" width="9.28515625" style="3" bestFit="1" customWidth="1"/>
    <col min="8709" max="8709" width="10.140625" style="3" customWidth="1"/>
    <col min="8710" max="8710" width="10.85546875" style="3" bestFit="1" customWidth="1"/>
    <col min="8711" max="8711" width="10.7109375" style="3" customWidth="1"/>
    <col min="8712" max="8712" width="11.28515625" style="3" bestFit="1" customWidth="1"/>
    <col min="8713" max="8713" width="10.85546875" style="3" bestFit="1" customWidth="1"/>
    <col min="8714" max="8714" width="9.85546875" style="3" bestFit="1" customWidth="1"/>
    <col min="8715" max="8715" width="10.85546875" style="3" customWidth="1"/>
    <col min="8716" max="8716" width="10.140625" style="3" customWidth="1"/>
    <col min="8717" max="8717" width="11.5703125" style="3" customWidth="1"/>
    <col min="8718" max="8718" width="11.28515625" style="3" bestFit="1" customWidth="1"/>
    <col min="8719" max="8719" width="9.5703125" style="3" customWidth="1"/>
    <col min="8720" max="8720" width="9.7109375" style="3" bestFit="1" customWidth="1"/>
    <col min="8721" max="8721" width="10.7109375" style="3" customWidth="1"/>
    <col min="8722" max="8722" width="11" style="3" customWidth="1"/>
    <col min="8723" max="8959" width="9.140625" style="3"/>
    <col min="8960" max="8960" width="21.42578125" style="3" customWidth="1"/>
    <col min="8961" max="8961" width="10.7109375" style="3" customWidth="1"/>
    <col min="8962" max="8963" width="9.85546875" style="3" bestFit="1" customWidth="1"/>
    <col min="8964" max="8964" width="9.28515625" style="3" bestFit="1" customWidth="1"/>
    <col min="8965" max="8965" width="10.140625" style="3" customWidth="1"/>
    <col min="8966" max="8966" width="10.85546875" style="3" bestFit="1" customWidth="1"/>
    <col min="8967" max="8967" width="10.7109375" style="3" customWidth="1"/>
    <col min="8968" max="8968" width="11.28515625" style="3" bestFit="1" customWidth="1"/>
    <col min="8969" max="8969" width="10.85546875" style="3" bestFit="1" customWidth="1"/>
    <col min="8970" max="8970" width="9.85546875" style="3" bestFit="1" customWidth="1"/>
    <col min="8971" max="8971" width="10.85546875" style="3" customWidth="1"/>
    <col min="8972" max="8972" width="10.140625" style="3" customWidth="1"/>
    <col min="8973" max="8973" width="11.5703125" style="3" customWidth="1"/>
    <col min="8974" max="8974" width="11.28515625" style="3" bestFit="1" customWidth="1"/>
    <col min="8975" max="8975" width="9.5703125" style="3" customWidth="1"/>
    <col min="8976" max="8976" width="9.7109375" style="3" bestFit="1" customWidth="1"/>
    <col min="8977" max="8977" width="10.7109375" style="3" customWidth="1"/>
    <col min="8978" max="8978" width="11" style="3" customWidth="1"/>
    <col min="8979" max="9215" width="9.140625" style="3"/>
    <col min="9216" max="9216" width="21.42578125" style="3" customWidth="1"/>
    <col min="9217" max="9217" width="10.7109375" style="3" customWidth="1"/>
    <col min="9218" max="9219" width="9.85546875" style="3" bestFit="1" customWidth="1"/>
    <col min="9220" max="9220" width="9.28515625" style="3" bestFit="1" customWidth="1"/>
    <col min="9221" max="9221" width="10.140625" style="3" customWidth="1"/>
    <col min="9222" max="9222" width="10.85546875" style="3" bestFit="1" customWidth="1"/>
    <col min="9223" max="9223" width="10.7109375" style="3" customWidth="1"/>
    <col min="9224" max="9224" width="11.28515625" style="3" bestFit="1" customWidth="1"/>
    <col min="9225" max="9225" width="10.85546875" style="3" bestFit="1" customWidth="1"/>
    <col min="9226" max="9226" width="9.85546875" style="3" bestFit="1" customWidth="1"/>
    <col min="9227" max="9227" width="10.85546875" style="3" customWidth="1"/>
    <col min="9228" max="9228" width="10.140625" style="3" customWidth="1"/>
    <col min="9229" max="9229" width="11.5703125" style="3" customWidth="1"/>
    <col min="9230" max="9230" width="11.28515625" style="3" bestFit="1" customWidth="1"/>
    <col min="9231" max="9231" width="9.5703125" style="3" customWidth="1"/>
    <col min="9232" max="9232" width="9.7109375" style="3" bestFit="1" customWidth="1"/>
    <col min="9233" max="9233" width="10.7109375" style="3" customWidth="1"/>
    <col min="9234" max="9234" width="11" style="3" customWidth="1"/>
    <col min="9235" max="9471" width="9.140625" style="3"/>
    <col min="9472" max="9472" width="21.42578125" style="3" customWidth="1"/>
    <col min="9473" max="9473" width="10.7109375" style="3" customWidth="1"/>
    <col min="9474" max="9475" width="9.85546875" style="3" bestFit="1" customWidth="1"/>
    <col min="9476" max="9476" width="9.28515625" style="3" bestFit="1" customWidth="1"/>
    <col min="9477" max="9477" width="10.140625" style="3" customWidth="1"/>
    <col min="9478" max="9478" width="10.85546875" style="3" bestFit="1" customWidth="1"/>
    <col min="9479" max="9479" width="10.7109375" style="3" customWidth="1"/>
    <col min="9480" max="9480" width="11.28515625" style="3" bestFit="1" customWidth="1"/>
    <col min="9481" max="9481" width="10.85546875" style="3" bestFit="1" customWidth="1"/>
    <col min="9482" max="9482" width="9.85546875" style="3" bestFit="1" customWidth="1"/>
    <col min="9483" max="9483" width="10.85546875" style="3" customWidth="1"/>
    <col min="9484" max="9484" width="10.140625" style="3" customWidth="1"/>
    <col min="9485" max="9485" width="11.5703125" style="3" customWidth="1"/>
    <col min="9486" max="9486" width="11.28515625" style="3" bestFit="1" customWidth="1"/>
    <col min="9487" max="9487" width="9.5703125" style="3" customWidth="1"/>
    <col min="9488" max="9488" width="9.7109375" style="3" bestFit="1" customWidth="1"/>
    <col min="9489" max="9489" width="10.7109375" style="3" customWidth="1"/>
    <col min="9490" max="9490" width="11" style="3" customWidth="1"/>
    <col min="9491" max="9727" width="9.140625" style="3"/>
    <col min="9728" max="9728" width="21.42578125" style="3" customWidth="1"/>
    <col min="9729" max="9729" width="10.7109375" style="3" customWidth="1"/>
    <col min="9730" max="9731" width="9.85546875" style="3" bestFit="1" customWidth="1"/>
    <col min="9732" max="9732" width="9.28515625" style="3" bestFit="1" customWidth="1"/>
    <col min="9733" max="9733" width="10.140625" style="3" customWidth="1"/>
    <col min="9734" max="9734" width="10.85546875" style="3" bestFit="1" customWidth="1"/>
    <col min="9735" max="9735" width="10.7109375" style="3" customWidth="1"/>
    <col min="9736" max="9736" width="11.28515625" style="3" bestFit="1" customWidth="1"/>
    <col min="9737" max="9737" width="10.85546875" style="3" bestFit="1" customWidth="1"/>
    <col min="9738" max="9738" width="9.85546875" style="3" bestFit="1" customWidth="1"/>
    <col min="9739" max="9739" width="10.85546875" style="3" customWidth="1"/>
    <col min="9740" max="9740" width="10.140625" style="3" customWidth="1"/>
    <col min="9741" max="9741" width="11.5703125" style="3" customWidth="1"/>
    <col min="9742" max="9742" width="11.28515625" style="3" bestFit="1" customWidth="1"/>
    <col min="9743" max="9743" width="9.5703125" style="3" customWidth="1"/>
    <col min="9744" max="9744" width="9.7109375" style="3" bestFit="1" customWidth="1"/>
    <col min="9745" max="9745" width="10.7109375" style="3" customWidth="1"/>
    <col min="9746" max="9746" width="11" style="3" customWidth="1"/>
    <col min="9747" max="9983" width="9.140625" style="3"/>
    <col min="9984" max="9984" width="21.42578125" style="3" customWidth="1"/>
    <col min="9985" max="9985" width="10.7109375" style="3" customWidth="1"/>
    <col min="9986" max="9987" width="9.85546875" style="3" bestFit="1" customWidth="1"/>
    <col min="9988" max="9988" width="9.28515625" style="3" bestFit="1" customWidth="1"/>
    <col min="9989" max="9989" width="10.140625" style="3" customWidth="1"/>
    <col min="9990" max="9990" width="10.85546875" style="3" bestFit="1" customWidth="1"/>
    <col min="9991" max="9991" width="10.7109375" style="3" customWidth="1"/>
    <col min="9992" max="9992" width="11.28515625" style="3" bestFit="1" customWidth="1"/>
    <col min="9993" max="9993" width="10.85546875" style="3" bestFit="1" customWidth="1"/>
    <col min="9994" max="9994" width="9.85546875" style="3" bestFit="1" customWidth="1"/>
    <col min="9995" max="9995" width="10.85546875" style="3" customWidth="1"/>
    <col min="9996" max="9996" width="10.140625" style="3" customWidth="1"/>
    <col min="9997" max="9997" width="11.5703125" style="3" customWidth="1"/>
    <col min="9998" max="9998" width="11.28515625" style="3" bestFit="1" customWidth="1"/>
    <col min="9999" max="9999" width="9.5703125" style="3" customWidth="1"/>
    <col min="10000" max="10000" width="9.7109375" style="3" bestFit="1" customWidth="1"/>
    <col min="10001" max="10001" width="10.7109375" style="3" customWidth="1"/>
    <col min="10002" max="10002" width="11" style="3" customWidth="1"/>
    <col min="10003" max="10239" width="9.140625" style="3"/>
    <col min="10240" max="10240" width="21.42578125" style="3" customWidth="1"/>
    <col min="10241" max="10241" width="10.7109375" style="3" customWidth="1"/>
    <col min="10242" max="10243" width="9.85546875" style="3" bestFit="1" customWidth="1"/>
    <col min="10244" max="10244" width="9.28515625" style="3" bestFit="1" customWidth="1"/>
    <col min="10245" max="10245" width="10.140625" style="3" customWidth="1"/>
    <col min="10246" max="10246" width="10.85546875" style="3" bestFit="1" customWidth="1"/>
    <col min="10247" max="10247" width="10.7109375" style="3" customWidth="1"/>
    <col min="10248" max="10248" width="11.28515625" style="3" bestFit="1" customWidth="1"/>
    <col min="10249" max="10249" width="10.85546875" style="3" bestFit="1" customWidth="1"/>
    <col min="10250" max="10250" width="9.85546875" style="3" bestFit="1" customWidth="1"/>
    <col min="10251" max="10251" width="10.85546875" style="3" customWidth="1"/>
    <col min="10252" max="10252" width="10.140625" style="3" customWidth="1"/>
    <col min="10253" max="10253" width="11.5703125" style="3" customWidth="1"/>
    <col min="10254" max="10254" width="11.28515625" style="3" bestFit="1" customWidth="1"/>
    <col min="10255" max="10255" width="9.5703125" style="3" customWidth="1"/>
    <col min="10256" max="10256" width="9.7109375" style="3" bestFit="1" customWidth="1"/>
    <col min="10257" max="10257" width="10.7109375" style="3" customWidth="1"/>
    <col min="10258" max="10258" width="11" style="3" customWidth="1"/>
    <col min="10259" max="10495" width="9.140625" style="3"/>
    <col min="10496" max="10496" width="21.42578125" style="3" customWidth="1"/>
    <col min="10497" max="10497" width="10.7109375" style="3" customWidth="1"/>
    <col min="10498" max="10499" width="9.85546875" style="3" bestFit="1" customWidth="1"/>
    <col min="10500" max="10500" width="9.28515625" style="3" bestFit="1" customWidth="1"/>
    <col min="10501" max="10501" width="10.140625" style="3" customWidth="1"/>
    <col min="10502" max="10502" width="10.85546875" style="3" bestFit="1" customWidth="1"/>
    <col min="10503" max="10503" width="10.7109375" style="3" customWidth="1"/>
    <col min="10504" max="10504" width="11.28515625" style="3" bestFit="1" customWidth="1"/>
    <col min="10505" max="10505" width="10.85546875" style="3" bestFit="1" customWidth="1"/>
    <col min="10506" max="10506" width="9.85546875" style="3" bestFit="1" customWidth="1"/>
    <col min="10507" max="10507" width="10.85546875" style="3" customWidth="1"/>
    <col min="10508" max="10508" width="10.140625" style="3" customWidth="1"/>
    <col min="10509" max="10509" width="11.5703125" style="3" customWidth="1"/>
    <col min="10510" max="10510" width="11.28515625" style="3" bestFit="1" customWidth="1"/>
    <col min="10511" max="10511" width="9.5703125" style="3" customWidth="1"/>
    <col min="10512" max="10512" width="9.7109375" style="3" bestFit="1" customWidth="1"/>
    <col min="10513" max="10513" width="10.7109375" style="3" customWidth="1"/>
    <col min="10514" max="10514" width="11" style="3" customWidth="1"/>
    <col min="10515" max="10751" width="9.140625" style="3"/>
    <col min="10752" max="10752" width="21.42578125" style="3" customWidth="1"/>
    <col min="10753" max="10753" width="10.7109375" style="3" customWidth="1"/>
    <col min="10754" max="10755" width="9.85546875" style="3" bestFit="1" customWidth="1"/>
    <col min="10756" max="10756" width="9.28515625" style="3" bestFit="1" customWidth="1"/>
    <col min="10757" max="10757" width="10.140625" style="3" customWidth="1"/>
    <col min="10758" max="10758" width="10.85546875" style="3" bestFit="1" customWidth="1"/>
    <col min="10759" max="10759" width="10.7109375" style="3" customWidth="1"/>
    <col min="10760" max="10760" width="11.28515625" style="3" bestFit="1" customWidth="1"/>
    <col min="10761" max="10761" width="10.85546875" style="3" bestFit="1" customWidth="1"/>
    <col min="10762" max="10762" width="9.85546875" style="3" bestFit="1" customWidth="1"/>
    <col min="10763" max="10763" width="10.85546875" style="3" customWidth="1"/>
    <col min="10764" max="10764" width="10.140625" style="3" customWidth="1"/>
    <col min="10765" max="10765" width="11.5703125" style="3" customWidth="1"/>
    <col min="10766" max="10766" width="11.28515625" style="3" bestFit="1" customWidth="1"/>
    <col min="10767" max="10767" width="9.5703125" style="3" customWidth="1"/>
    <col min="10768" max="10768" width="9.7109375" style="3" bestFit="1" customWidth="1"/>
    <col min="10769" max="10769" width="10.7109375" style="3" customWidth="1"/>
    <col min="10770" max="10770" width="11" style="3" customWidth="1"/>
    <col min="10771" max="11007" width="9.140625" style="3"/>
    <col min="11008" max="11008" width="21.42578125" style="3" customWidth="1"/>
    <col min="11009" max="11009" width="10.7109375" style="3" customWidth="1"/>
    <col min="11010" max="11011" width="9.85546875" style="3" bestFit="1" customWidth="1"/>
    <col min="11012" max="11012" width="9.28515625" style="3" bestFit="1" customWidth="1"/>
    <col min="11013" max="11013" width="10.140625" style="3" customWidth="1"/>
    <col min="11014" max="11014" width="10.85546875" style="3" bestFit="1" customWidth="1"/>
    <col min="11015" max="11015" width="10.7109375" style="3" customWidth="1"/>
    <col min="11016" max="11016" width="11.28515625" style="3" bestFit="1" customWidth="1"/>
    <col min="11017" max="11017" width="10.85546875" style="3" bestFit="1" customWidth="1"/>
    <col min="11018" max="11018" width="9.85546875" style="3" bestFit="1" customWidth="1"/>
    <col min="11019" max="11019" width="10.85546875" style="3" customWidth="1"/>
    <col min="11020" max="11020" width="10.140625" style="3" customWidth="1"/>
    <col min="11021" max="11021" width="11.5703125" style="3" customWidth="1"/>
    <col min="11022" max="11022" width="11.28515625" style="3" bestFit="1" customWidth="1"/>
    <col min="11023" max="11023" width="9.5703125" style="3" customWidth="1"/>
    <col min="11024" max="11024" width="9.7109375" style="3" bestFit="1" customWidth="1"/>
    <col min="11025" max="11025" width="10.7109375" style="3" customWidth="1"/>
    <col min="11026" max="11026" width="11" style="3" customWidth="1"/>
    <col min="11027" max="11263" width="9.140625" style="3"/>
    <col min="11264" max="11264" width="21.42578125" style="3" customWidth="1"/>
    <col min="11265" max="11265" width="10.7109375" style="3" customWidth="1"/>
    <col min="11266" max="11267" width="9.85546875" style="3" bestFit="1" customWidth="1"/>
    <col min="11268" max="11268" width="9.28515625" style="3" bestFit="1" customWidth="1"/>
    <col min="11269" max="11269" width="10.140625" style="3" customWidth="1"/>
    <col min="11270" max="11270" width="10.85546875" style="3" bestFit="1" customWidth="1"/>
    <col min="11271" max="11271" width="10.7109375" style="3" customWidth="1"/>
    <col min="11272" max="11272" width="11.28515625" style="3" bestFit="1" customWidth="1"/>
    <col min="11273" max="11273" width="10.85546875" style="3" bestFit="1" customWidth="1"/>
    <col min="11274" max="11274" width="9.85546875" style="3" bestFit="1" customWidth="1"/>
    <col min="11275" max="11275" width="10.85546875" style="3" customWidth="1"/>
    <col min="11276" max="11276" width="10.140625" style="3" customWidth="1"/>
    <col min="11277" max="11277" width="11.5703125" style="3" customWidth="1"/>
    <col min="11278" max="11278" width="11.28515625" style="3" bestFit="1" customWidth="1"/>
    <col min="11279" max="11279" width="9.5703125" style="3" customWidth="1"/>
    <col min="11280" max="11280" width="9.7109375" style="3" bestFit="1" customWidth="1"/>
    <col min="11281" max="11281" width="10.7109375" style="3" customWidth="1"/>
    <col min="11282" max="11282" width="11" style="3" customWidth="1"/>
    <col min="11283" max="11519" width="9.140625" style="3"/>
    <col min="11520" max="11520" width="21.42578125" style="3" customWidth="1"/>
    <col min="11521" max="11521" width="10.7109375" style="3" customWidth="1"/>
    <col min="11522" max="11523" width="9.85546875" style="3" bestFit="1" customWidth="1"/>
    <col min="11524" max="11524" width="9.28515625" style="3" bestFit="1" customWidth="1"/>
    <col min="11525" max="11525" width="10.140625" style="3" customWidth="1"/>
    <col min="11526" max="11526" width="10.85546875" style="3" bestFit="1" customWidth="1"/>
    <col min="11527" max="11527" width="10.7109375" style="3" customWidth="1"/>
    <col min="11528" max="11528" width="11.28515625" style="3" bestFit="1" customWidth="1"/>
    <col min="11529" max="11529" width="10.85546875" style="3" bestFit="1" customWidth="1"/>
    <col min="11530" max="11530" width="9.85546875" style="3" bestFit="1" customWidth="1"/>
    <col min="11531" max="11531" width="10.85546875" style="3" customWidth="1"/>
    <col min="11532" max="11532" width="10.140625" style="3" customWidth="1"/>
    <col min="11533" max="11533" width="11.5703125" style="3" customWidth="1"/>
    <col min="11534" max="11534" width="11.28515625" style="3" bestFit="1" customWidth="1"/>
    <col min="11535" max="11535" width="9.5703125" style="3" customWidth="1"/>
    <col min="11536" max="11536" width="9.7109375" style="3" bestFit="1" customWidth="1"/>
    <col min="11537" max="11537" width="10.7109375" style="3" customWidth="1"/>
    <col min="11538" max="11538" width="11" style="3" customWidth="1"/>
    <col min="11539" max="11775" width="9.140625" style="3"/>
    <col min="11776" max="11776" width="21.42578125" style="3" customWidth="1"/>
    <col min="11777" max="11777" width="10.7109375" style="3" customWidth="1"/>
    <col min="11778" max="11779" width="9.85546875" style="3" bestFit="1" customWidth="1"/>
    <col min="11780" max="11780" width="9.28515625" style="3" bestFit="1" customWidth="1"/>
    <col min="11781" max="11781" width="10.140625" style="3" customWidth="1"/>
    <col min="11782" max="11782" width="10.85546875" style="3" bestFit="1" customWidth="1"/>
    <col min="11783" max="11783" width="10.7109375" style="3" customWidth="1"/>
    <col min="11784" max="11784" width="11.28515625" style="3" bestFit="1" customWidth="1"/>
    <col min="11785" max="11785" width="10.85546875" style="3" bestFit="1" customWidth="1"/>
    <col min="11786" max="11786" width="9.85546875" style="3" bestFit="1" customWidth="1"/>
    <col min="11787" max="11787" width="10.85546875" style="3" customWidth="1"/>
    <col min="11788" max="11788" width="10.140625" style="3" customWidth="1"/>
    <col min="11789" max="11789" width="11.5703125" style="3" customWidth="1"/>
    <col min="11790" max="11790" width="11.28515625" style="3" bestFit="1" customWidth="1"/>
    <col min="11791" max="11791" width="9.5703125" style="3" customWidth="1"/>
    <col min="11792" max="11792" width="9.7109375" style="3" bestFit="1" customWidth="1"/>
    <col min="11793" max="11793" width="10.7109375" style="3" customWidth="1"/>
    <col min="11794" max="11794" width="11" style="3" customWidth="1"/>
    <col min="11795" max="12031" width="9.140625" style="3"/>
    <col min="12032" max="12032" width="21.42578125" style="3" customWidth="1"/>
    <col min="12033" max="12033" width="10.7109375" style="3" customWidth="1"/>
    <col min="12034" max="12035" width="9.85546875" style="3" bestFit="1" customWidth="1"/>
    <col min="12036" max="12036" width="9.28515625" style="3" bestFit="1" customWidth="1"/>
    <col min="12037" max="12037" width="10.140625" style="3" customWidth="1"/>
    <col min="12038" max="12038" width="10.85546875" style="3" bestFit="1" customWidth="1"/>
    <col min="12039" max="12039" width="10.7109375" style="3" customWidth="1"/>
    <col min="12040" max="12040" width="11.28515625" style="3" bestFit="1" customWidth="1"/>
    <col min="12041" max="12041" width="10.85546875" style="3" bestFit="1" customWidth="1"/>
    <col min="12042" max="12042" width="9.85546875" style="3" bestFit="1" customWidth="1"/>
    <col min="12043" max="12043" width="10.85546875" style="3" customWidth="1"/>
    <col min="12044" max="12044" width="10.140625" style="3" customWidth="1"/>
    <col min="12045" max="12045" width="11.5703125" style="3" customWidth="1"/>
    <col min="12046" max="12046" width="11.28515625" style="3" bestFit="1" customWidth="1"/>
    <col min="12047" max="12047" width="9.5703125" style="3" customWidth="1"/>
    <col min="12048" max="12048" width="9.7109375" style="3" bestFit="1" customWidth="1"/>
    <col min="12049" max="12049" width="10.7109375" style="3" customWidth="1"/>
    <col min="12050" max="12050" width="11" style="3" customWidth="1"/>
    <col min="12051" max="12287" width="9.140625" style="3"/>
    <col min="12288" max="12288" width="21.42578125" style="3" customWidth="1"/>
    <col min="12289" max="12289" width="10.7109375" style="3" customWidth="1"/>
    <col min="12290" max="12291" width="9.85546875" style="3" bestFit="1" customWidth="1"/>
    <col min="12292" max="12292" width="9.28515625" style="3" bestFit="1" customWidth="1"/>
    <col min="12293" max="12293" width="10.140625" style="3" customWidth="1"/>
    <col min="12294" max="12294" width="10.85546875" style="3" bestFit="1" customWidth="1"/>
    <col min="12295" max="12295" width="10.7109375" style="3" customWidth="1"/>
    <col min="12296" max="12296" width="11.28515625" style="3" bestFit="1" customWidth="1"/>
    <col min="12297" max="12297" width="10.85546875" style="3" bestFit="1" customWidth="1"/>
    <col min="12298" max="12298" width="9.85546875" style="3" bestFit="1" customWidth="1"/>
    <col min="12299" max="12299" width="10.85546875" style="3" customWidth="1"/>
    <col min="12300" max="12300" width="10.140625" style="3" customWidth="1"/>
    <col min="12301" max="12301" width="11.5703125" style="3" customWidth="1"/>
    <col min="12302" max="12302" width="11.28515625" style="3" bestFit="1" customWidth="1"/>
    <col min="12303" max="12303" width="9.5703125" style="3" customWidth="1"/>
    <col min="12304" max="12304" width="9.7109375" style="3" bestFit="1" customWidth="1"/>
    <col min="12305" max="12305" width="10.7109375" style="3" customWidth="1"/>
    <col min="12306" max="12306" width="11" style="3" customWidth="1"/>
    <col min="12307" max="12543" width="9.140625" style="3"/>
    <col min="12544" max="12544" width="21.42578125" style="3" customWidth="1"/>
    <col min="12545" max="12545" width="10.7109375" style="3" customWidth="1"/>
    <col min="12546" max="12547" width="9.85546875" style="3" bestFit="1" customWidth="1"/>
    <col min="12548" max="12548" width="9.28515625" style="3" bestFit="1" customWidth="1"/>
    <col min="12549" max="12549" width="10.140625" style="3" customWidth="1"/>
    <col min="12550" max="12550" width="10.85546875" style="3" bestFit="1" customWidth="1"/>
    <col min="12551" max="12551" width="10.7109375" style="3" customWidth="1"/>
    <col min="12552" max="12552" width="11.28515625" style="3" bestFit="1" customWidth="1"/>
    <col min="12553" max="12553" width="10.85546875" style="3" bestFit="1" customWidth="1"/>
    <col min="12554" max="12554" width="9.85546875" style="3" bestFit="1" customWidth="1"/>
    <col min="12555" max="12555" width="10.85546875" style="3" customWidth="1"/>
    <col min="12556" max="12556" width="10.140625" style="3" customWidth="1"/>
    <col min="12557" max="12557" width="11.5703125" style="3" customWidth="1"/>
    <col min="12558" max="12558" width="11.28515625" style="3" bestFit="1" customWidth="1"/>
    <col min="12559" max="12559" width="9.5703125" style="3" customWidth="1"/>
    <col min="12560" max="12560" width="9.7109375" style="3" bestFit="1" customWidth="1"/>
    <col min="12561" max="12561" width="10.7109375" style="3" customWidth="1"/>
    <col min="12562" max="12562" width="11" style="3" customWidth="1"/>
    <col min="12563" max="12799" width="9.140625" style="3"/>
    <col min="12800" max="12800" width="21.42578125" style="3" customWidth="1"/>
    <col min="12801" max="12801" width="10.7109375" style="3" customWidth="1"/>
    <col min="12802" max="12803" width="9.85546875" style="3" bestFit="1" customWidth="1"/>
    <col min="12804" max="12804" width="9.28515625" style="3" bestFit="1" customWidth="1"/>
    <col min="12805" max="12805" width="10.140625" style="3" customWidth="1"/>
    <col min="12806" max="12806" width="10.85546875" style="3" bestFit="1" customWidth="1"/>
    <col min="12807" max="12807" width="10.7109375" style="3" customWidth="1"/>
    <col min="12808" max="12808" width="11.28515625" style="3" bestFit="1" customWidth="1"/>
    <col min="12809" max="12809" width="10.85546875" style="3" bestFit="1" customWidth="1"/>
    <col min="12810" max="12810" width="9.85546875" style="3" bestFit="1" customWidth="1"/>
    <col min="12811" max="12811" width="10.85546875" style="3" customWidth="1"/>
    <col min="12812" max="12812" width="10.140625" style="3" customWidth="1"/>
    <col min="12813" max="12813" width="11.5703125" style="3" customWidth="1"/>
    <col min="12814" max="12814" width="11.28515625" style="3" bestFit="1" customWidth="1"/>
    <col min="12815" max="12815" width="9.5703125" style="3" customWidth="1"/>
    <col min="12816" max="12816" width="9.7109375" style="3" bestFit="1" customWidth="1"/>
    <col min="12817" max="12817" width="10.7109375" style="3" customWidth="1"/>
    <col min="12818" max="12818" width="11" style="3" customWidth="1"/>
    <col min="12819" max="13055" width="9.140625" style="3"/>
    <col min="13056" max="13056" width="21.42578125" style="3" customWidth="1"/>
    <col min="13057" max="13057" width="10.7109375" style="3" customWidth="1"/>
    <col min="13058" max="13059" width="9.85546875" style="3" bestFit="1" customWidth="1"/>
    <col min="13060" max="13060" width="9.28515625" style="3" bestFit="1" customWidth="1"/>
    <col min="13061" max="13061" width="10.140625" style="3" customWidth="1"/>
    <col min="13062" max="13062" width="10.85546875" style="3" bestFit="1" customWidth="1"/>
    <col min="13063" max="13063" width="10.7109375" style="3" customWidth="1"/>
    <col min="13064" max="13064" width="11.28515625" style="3" bestFit="1" customWidth="1"/>
    <col min="13065" max="13065" width="10.85546875" style="3" bestFit="1" customWidth="1"/>
    <col min="13066" max="13066" width="9.85546875" style="3" bestFit="1" customWidth="1"/>
    <col min="13067" max="13067" width="10.85546875" style="3" customWidth="1"/>
    <col min="13068" max="13068" width="10.140625" style="3" customWidth="1"/>
    <col min="13069" max="13069" width="11.5703125" style="3" customWidth="1"/>
    <col min="13070" max="13070" width="11.28515625" style="3" bestFit="1" customWidth="1"/>
    <col min="13071" max="13071" width="9.5703125" style="3" customWidth="1"/>
    <col min="13072" max="13072" width="9.7109375" style="3" bestFit="1" customWidth="1"/>
    <col min="13073" max="13073" width="10.7109375" style="3" customWidth="1"/>
    <col min="13074" max="13074" width="11" style="3" customWidth="1"/>
    <col min="13075" max="13311" width="9.140625" style="3"/>
    <col min="13312" max="13312" width="21.42578125" style="3" customWidth="1"/>
    <col min="13313" max="13313" width="10.7109375" style="3" customWidth="1"/>
    <col min="13314" max="13315" width="9.85546875" style="3" bestFit="1" customWidth="1"/>
    <col min="13316" max="13316" width="9.28515625" style="3" bestFit="1" customWidth="1"/>
    <col min="13317" max="13317" width="10.140625" style="3" customWidth="1"/>
    <col min="13318" max="13318" width="10.85546875" style="3" bestFit="1" customWidth="1"/>
    <col min="13319" max="13319" width="10.7109375" style="3" customWidth="1"/>
    <col min="13320" max="13320" width="11.28515625" style="3" bestFit="1" customWidth="1"/>
    <col min="13321" max="13321" width="10.85546875" style="3" bestFit="1" customWidth="1"/>
    <col min="13322" max="13322" width="9.85546875" style="3" bestFit="1" customWidth="1"/>
    <col min="13323" max="13323" width="10.85546875" style="3" customWidth="1"/>
    <col min="13324" max="13324" width="10.140625" style="3" customWidth="1"/>
    <col min="13325" max="13325" width="11.5703125" style="3" customWidth="1"/>
    <col min="13326" max="13326" width="11.28515625" style="3" bestFit="1" customWidth="1"/>
    <col min="13327" max="13327" width="9.5703125" style="3" customWidth="1"/>
    <col min="13328" max="13328" width="9.7109375" style="3" bestFit="1" customWidth="1"/>
    <col min="13329" max="13329" width="10.7109375" style="3" customWidth="1"/>
    <col min="13330" max="13330" width="11" style="3" customWidth="1"/>
    <col min="13331" max="13567" width="9.140625" style="3"/>
    <col min="13568" max="13568" width="21.42578125" style="3" customWidth="1"/>
    <col min="13569" max="13569" width="10.7109375" style="3" customWidth="1"/>
    <col min="13570" max="13571" width="9.85546875" style="3" bestFit="1" customWidth="1"/>
    <col min="13572" max="13572" width="9.28515625" style="3" bestFit="1" customWidth="1"/>
    <col min="13573" max="13573" width="10.140625" style="3" customWidth="1"/>
    <col min="13574" max="13574" width="10.85546875" style="3" bestFit="1" customWidth="1"/>
    <col min="13575" max="13575" width="10.7109375" style="3" customWidth="1"/>
    <col min="13576" max="13576" width="11.28515625" style="3" bestFit="1" customWidth="1"/>
    <col min="13577" max="13577" width="10.85546875" style="3" bestFit="1" customWidth="1"/>
    <col min="13578" max="13578" width="9.85546875" style="3" bestFit="1" customWidth="1"/>
    <col min="13579" max="13579" width="10.85546875" style="3" customWidth="1"/>
    <col min="13580" max="13580" width="10.140625" style="3" customWidth="1"/>
    <col min="13581" max="13581" width="11.5703125" style="3" customWidth="1"/>
    <col min="13582" max="13582" width="11.28515625" style="3" bestFit="1" customWidth="1"/>
    <col min="13583" max="13583" width="9.5703125" style="3" customWidth="1"/>
    <col min="13584" max="13584" width="9.7109375" style="3" bestFit="1" customWidth="1"/>
    <col min="13585" max="13585" width="10.7109375" style="3" customWidth="1"/>
    <col min="13586" max="13586" width="11" style="3" customWidth="1"/>
    <col min="13587" max="13823" width="9.140625" style="3"/>
    <col min="13824" max="13824" width="21.42578125" style="3" customWidth="1"/>
    <col min="13825" max="13825" width="10.7109375" style="3" customWidth="1"/>
    <col min="13826" max="13827" width="9.85546875" style="3" bestFit="1" customWidth="1"/>
    <col min="13828" max="13828" width="9.28515625" style="3" bestFit="1" customWidth="1"/>
    <col min="13829" max="13829" width="10.140625" style="3" customWidth="1"/>
    <col min="13830" max="13830" width="10.85546875" style="3" bestFit="1" customWidth="1"/>
    <col min="13831" max="13831" width="10.7109375" style="3" customWidth="1"/>
    <col min="13832" max="13832" width="11.28515625" style="3" bestFit="1" customWidth="1"/>
    <col min="13833" max="13833" width="10.85546875" style="3" bestFit="1" customWidth="1"/>
    <col min="13834" max="13834" width="9.85546875" style="3" bestFit="1" customWidth="1"/>
    <col min="13835" max="13835" width="10.85546875" style="3" customWidth="1"/>
    <col min="13836" max="13836" width="10.140625" style="3" customWidth="1"/>
    <col min="13837" max="13837" width="11.5703125" style="3" customWidth="1"/>
    <col min="13838" max="13838" width="11.28515625" style="3" bestFit="1" customWidth="1"/>
    <col min="13839" max="13839" width="9.5703125" style="3" customWidth="1"/>
    <col min="13840" max="13840" width="9.7109375" style="3" bestFit="1" customWidth="1"/>
    <col min="13841" max="13841" width="10.7109375" style="3" customWidth="1"/>
    <col min="13842" max="13842" width="11" style="3" customWidth="1"/>
    <col min="13843" max="14079" width="9.140625" style="3"/>
    <col min="14080" max="14080" width="21.42578125" style="3" customWidth="1"/>
    <col min="14081" max="14081" width="10.7109375" style="3" customWidth="1"/>
    <col min="14082" max="14083" width="9.85546875" style="3" bestFit="1" customWidth="1"/>
    <col min="14084" max="14084" width="9.28515625" style="3" bestFit="1" customWidth="1"/>
    <col min="14085" max="14085" width="10.140625" style="3" customWidth="1"/>
    <col min="14086" max="14086" width="10.85546875" style="3" bestFit="1" customWidth="1"/>
    <col min="14087" max="14087" width="10.7109375" style="3" customWidth="1"/>
    <col min="14088" max="14088" width="11.28515625" style="3" bestFit="1" customWidth="1"/>
    <col min="14089" max="14089" width="10.85546875" style="3" bestFit="1" customWidth="1"/>
    <col min="14090" max="14090" width="9.85546875" style="3" bestFit="1" customWidth="1"/>
    <col min="14091" max="14091" width="10.85546875" style="3" customWidth="1"/>
    <col min="14092" max="14092" width="10.140625" style="3" customWidth="1"/>
    <col min="14093" max="14093" width="11.5703125" style="3" customWidth="1"/>
    <col min="14094" max="14094" width="11.28515625" style="3" bestFit="1" customWidth="1"/>
    <col min="14095" max="14095" width="9.5703125" style="3" customWidth="1"/>
    <col min="14096" max="14096" width="9.7109375" style="3" bestFit="1" customWidth="1"/>
    <col min="14097" max="14097" width="10.7109375" style="3" customWidth="1"/>
    <col min="14098" max="14098" width="11" style="3" customWidth="1"/>
    <col min="14099" max="14335" width="9.140625" style="3"/>
    <col min="14336" max="14336" width="21.42578125" style="3" customWidth="1"/>
    <col min="14337" max="14337" width="10.7109375" style="3" customWidth="1"/>
    <col min="14338" max="14339" width="9.85546875" style="3" bestFit="1" customWidth="1"/>
    <col min="14340" max="14340" width="9.28515625" style="3" bestFit="1" customWidth="1"/>
    <col min="14341" max="14341" width="10.140625" style="3" customWidth="1"/>
    <col min="14342" max="14342" width="10.85546875" style="3" bestFit="1" customWidth="1"/>
    <col min="14343" max="14343" width="10.7109375" style="3" customWidth="1"/>
    <col min="14344" max="14344" width="11.28515625" style="3" bestFit="1" customWidth="1"/>
    <col min="14345" max="14345" width="10.85546875" style="3" bestFit="1" customWidth="1"/>
    <col min="14346" max="14346" width="9.85546875" style="3" bestFit="1" customWidth="1"/>
    <col min="14347" max="14347" width="10.85546875" style="3" customWidth="1"/>
    <col min="14348" max="14348" width="10.140625" style="3" customWidth="1"/>
    <col min="14349" max="14349" width="11.5703125" style="3" customWidth="1"/>
    <col min="14350" max="14350" width="11.28515625" style="3" bestFit="1" customWidth="1"/>
    <col min="14351" max="14351" width="9.5703125" style="3" customWidth="1"/>
    <col min="14352" max="14352" width="9.7109375" style="3" bestFit="1" customWidth="1"/>
    <col min="14353" max="14353" width="10.7109375" style="3" customWidth="1"/>
    <col min="14354" max="14354" width="11" style="3" customWidth="1"/>
    <col min="14355" max="14591" width="9.140625" style="3"/>
    <col min="14592" max="14592" width="21.42578125" style="3" customWidth="1"/>
    <col min="14593" max="14593" width="10.7109375" style="3" customWidth="1"/>
    <col min="14594" max="14595" width="9.85546875" style="3" bestFit="1" customWidth="1"/>
    <col min="14596" max="14596" width="9.28515625" style="3" bestFit="1" customWidth="1"/>
    <col min="14597" max="14597" width="10.140625" style="3" customWidth="1"/>
    <col min="14598" max="14598" width="10.85546875" style="3" bestFit="1" customWidth="1"/>
    <col min="14599" max="14599" width="10.7109375" style="3" customWidth="1"/>
    <col min="14600" max="14600" width="11.28515625" style="3" bestFit="1" customWidth="1"/>
    <col min="14601" max="14601" width="10.85546875" style="3" bestFit="1" customWidth="1"/>
    <col min="14602" max="14602" width="9.85546875" style="3" bestFit="1" customWidth="1"/>
    <col min="14603" max="14603" width="10.85546875" style="3" customWidth="1"/>
    <col min="14604" max="14604" width="10.140625" style="3" customWidth="1"/>
    <col min="14605" max="14605" width="11.5703125" style="3" customWidth="1"/>
    <col min="14606" max="14606" width="11.28515625" style="3" bestFit="1" customWidth="1"/>
    <col min="14607" max="14607" width="9.5703125" style="3" customWidth="1"/>
    <col min="14608" max="14608" width="9.7109375" style="3" bestFit="1" customWidth="1"/>
    <col min="14609" max="14609" width="10.7109375" style="3" customWidth="1"/>
    <col min="14610" max="14610" width="11" style="3" customWidth="1"/>
    <col min="14611" max="14847" width="9.140625" style="3"/>
    <col min="14848" max="14848" width="21.42578125" style="3" customWidth="1"/>
    <col min="14849" max="14849" width="10.7109375" style="3" customWidth="1"/>
    <col min="14850" max="14851" width="9.85546875" style="3" bestFit="1" customWidth="1"/>
    <col min="14852" max="14852" width="9.28515625" style="3" bestFit="1" customWidth="1"/>
    <col min="14853" max="14853" width="10.140625" style="3" customWidth="1"/>
    <col min="14854" max="14854" width="10.85546875" style="3" bestFit="1" customWidth="1"/>
    <col min="14855" max="14855" width="10.7109375" style="3" customWidth="1"/>
    <col min="14856" max="14856" width="11.28515625" style="3" bestFit="1" customWidth="1"/>
    <col min="14857" max="14857" width="10.85546875" style="3" bestFit="1" customWidth="1"/>
    <col min="14858" max="14858" width="9.85546875" style="3" bestFit="1" customWidth="1"/>
    <col min="14859" max="14859" width="10.85546875" style="3" customWidth="1"/>
    <col min="14860" max="14860" width="10.140625" style="3" customWidth="1"/>
    <col min="14861" max="14861" width="11.5703125" style="3" customWidth="1"/>
    <col min="14862" max="14862" width="11.28515625" style="3" bestFit="1" customWidth="1"/>
    <col min="14863" max="14863" width="9.5703125" style="3" customWidth="1"/>
    <col min="14864" max="14864" width="9.7109375" style="3" bestFit="1" customWidth="1"/>
    <col min="14865" max="14865" width="10.7109375" style="3" customWidth="1"/>
    <col min="14866" max="14866" width="11" style="3" customWidth="1"/>
    <col min="14867" max="15103" width="9.140625" style="3"/>
    <col min="15104" max="15104" width="21.42578125" style="3" customWidth="1"/>
    <col min="15105" max="15105" width="10.7109375" style="3" customWidth="1"/>
    <col min="15106" max="15107" width="9.85546875" style="3" bestFit="1" customWidth="1"/>
    <col min="15108" max="15108" width="9.28515625" style="3" bestFit="1" customWidth="1"/>
    <col min="15109" max="15109" width="10.140625" style="3" customWidth="1"/>
    <col min="15110" max="15110" width="10.85546875" style="3" bestFit="1" customWidth="1"/>
    <col min="15111" max="15111" width="10.7109375" style="3" customWidth="1"/>
    <col min="15112" max="15112" width="11.28515625" style="3" bestFit="1" customWidth="1"/>
    <col min="15113" max="15113" width="10.85546875" style="3" bestFit="1" customWidth="1"/>
    <col min="15114" max="15114" width="9.85546875" style="3" bestFit="1" customWidth="1"/>
    <col min="15115" max="15115" width="10.85546875" style="3" customWidth="1"/>
    <col min="15116" max="15116" width="10.140625" style="3" customWidth="1"/>
    <col min="15117" max="15117" width="11.5703125" style="3" customWidth="1"/>
    <col min="15118" max="15118" width="11.28515625" style="3" bestFit="1" customWidth="1"/>
    <col min="15119" max="15119" width="9.5703125" style="3" customWidth="1"/>
    <col min="15120" max="15120" width="9.7109375" style="3" bestFit="1" customWidth="1"/>
    <col min="15121" max="15121" width="10.7109375" style="3" customWidth="1"/>
    <col min="15122" max="15122" width="11" style="3" customWidth="1"/>
    <col min="15123" max="15359" width="9.140625" style="3"/>
    <col min="15360" max="15360" width="21.42578125" style="3" customWidth="1"/>
    <col min="15361" max="15361" width="10.7109375" style="3" customWidth="1"/>
    <col min="15362" max="15363" width="9.85546875" style="3" bestFit="1" customWidth="1"/>
    <col min="15364" max="15364" width="9.28515625" style="3" bestFit="1" customWidth="1"/>
    <col min="15365" max="15365" width="10.140625" style="3" customWidth="1"/>
    <col min="15366" max="15366" width="10.85546875" style="3" bestFit="1" customWidth="1"/>
    <col min="15367" max="15367" width="10.7109375" style="3" customWidth="1"/>
    <col min="15368" max="15368" width="11.28515625" style="3" bestFit="1" customWidth="1"/>
    <col min="15369" max="15369" width="10.85546875" style="3" bestFit="1" customWidth="1"/>
    <col min="15370" max="15370" width="9.85546875" style="3" bestFit="1" customWidth="1"/>
    <col min="15371" max="15371" width="10.85546875" style="3" customWidth="1"/>
    <col min="15372" max="15372" width="10.140625" style="3" customWidth="1"/>
    <col min="15373" max="15373" width="11.5703125" style="3" customWidth="1"/>
    <col min="15374" max="15374" width="11.28515625" style="3" bestFit="1" customWidth="1"/>
    <col min="15375" max="15375" width="9.5703125" style="3" customWidth="1"/>
    <col min="15376" max="15376" width="9.7109375" style="3" bestFit="1" customWidth="1"/>
    <col min="15377" max="15377" width="10.7109375" style="3" customWidth="1"/>
    <col min="15378" max="15378" width="11" style="3" customWidth="1"/>
    <col min="15379" max="15615" width="9.140625" style="3"/>
    <col min="15616" max="15616" width="21.42578125" style="3" customWidth="1"/>
    <col min="15617" max="15617" width="10.7109375" style="3" customWidth="1"/>
    <col min="15618" max="15619" width="9.85546875" style="3" bestFit="1" customWidth="1"/>
    <col min="15620" max="15620" width="9.28515625" style="3" bestFit="1" customWidth="1"/>
    <col min="15621" max="15621" width="10.140625" style="3" customWidth="1"/>
    <col min="15622" max="15622" width="10.85546875" style="3" bestFit="1" customWidth="1"/>
    <col min="15623" max="15623" width="10.7109375" style="3" customWidth="1"/>
    <col min="15624" max="15624" width="11.28515625" style="3" bestFit="1" customWidth="1"/>
    <col min="15625" max="15625" width="10.85546875" style="3" bestFit="1" customWidth="1"/>
    <col min="15626" max="15626" width="9.85546875" style="3" bestFit="1" customWidth="1"/>
    <col min="15627" max="15627" width="10.85546875" style="3" customWidth="1"/>
    <col min="15628" max="15628" width="10.140625" style="3" customWidth="1"/>
    <col min="15629" max="15629" width="11.5703125" style="3" customWidth="1"/>
    <col min="15630" max="15630" width="11.28515625" style="3" bestFit="1" customWidth="1"/>
    <col min="15631" max="15631" width="9.5703125" style="3" customWidth="1"/>
    <col min="15632" max="15632" width="9.7109375" style="3" bestFit="1" customWidth="1"/>
    <col min="15633" max="15633" width="10.7109375" style="3" customWidth="1"/>
    <col min="15634" max="15634" width="11" style="3" customWidth="1"/>
    <col min="15635" max="15871" width="9.140625" style="3"/>
    <col min="15872" max="15872" width="21.42578125" style="3" customWidth="1"/>
    <col min="15873" max="15873" width="10.7109375" style="3" customWidth="1"/>
    <col min="15874" max="15875" width="9.85546875" style="3" bestFit="1" customWidth="1"/>
    <col min="15876" max="15876" width="9.28515625" style="3" bestFit="1" customWidth="1"/>
    <col min="15877" max="15877" width="10.140625" style="3" customWidth="1"/>
    <col min="15878" max="15878" width="10.85546875" style="3" bestFit="1" customWidth="1"/>
    <col min="15879" max="15879" width="10.7109375" style="3" customWidth="1"/>
    <col min="15880" max="15880" width="11.28515625" style="3" bestFit="1" customWidth="1"/>
    <col min="15881" max="15881" width="10.85546875" style="3" bestFit="1" customWidth="1"/>
    <col min="15882" max="15882" width="9.85546875" style="3" bestFit="1" customWidth="1"/>
    <col min="15883" max="15883" width="10.85546875" style="3" customWidth="1"/>
    <col min="15884" max="15884" width="10.140625" style="3" customWidth="1"/>
    <col min="15885" max="15885" width="11.5703125" style="3" customWidth="1"/>
    <col min="15886" max="15886" width="11.28515625" style="3" bestFit="1" customWidth="1"/>
    <col min="15887" max="15887" width="9.5703125" style="3" customWidth="1"/>
    <col min="15888" max="15888" width="9.7109375" style="3" bestFit="1" customWidth="1"/>
    <col min="15889" max="15889" width="10.7109375" style="3" customWidth="1"/>
    <col min="15890" max="15890" width="11" style="3" customWidth="1"/>
    <col min="15891" max="16127" width="9.140625" style="3"/>
    <col min="16128" max="16128" width="21.42578125" style="3" customWidth="1"/>
    <col min="16129" max="16129" width="10.7109375" style="3" customWidth="1"/>
    <col min="16130" max="16131" width="9.85546875" style="3" bestFit="1" customWidth="1"/>
    <col min="16132" max="16132" width="9.28515625" style="3" bestFit="1" customWidth="1"/>
    <col min="16133" max="16133" width="10.140625" style="3" customWidth="1"/>
    <col min="16134" max="16134" width="10.85546875" style="3" bestFit="1" customWidth="1"/>
    <col min="16135" max="16135" width="10.7109375" style="3" customWidth="1"/>
    <col min="16136" max="16136" width="11.28515625" style="3" bestFit="1" customWidth="1"/>
    <col min="16137" max="16137" width="10.85546875" style="3" bestFit="1" customWidth="1"/>
    <col min="16138" max="16138" width="9.85546875" style="3" bestFit="1" customWidth="1"/>
    <col min="16139" max="16139" width="10.85546875" style="3" customWidth="1"/>
    <col min="16140" max="16140" width="10.140625" style="3" customWidth="1"/>
    <col min="16141" max="16141" width="11.5703125" style="3" customWidth="1"/>
    <col min="16142" max="16142" width="11.28515625" style="3" bestFit="1" customWidth="1"/>
    <col min="16143" max="16143" width="9.5703125" style="3" customWidth="1"/>
    <col min="16144" max="16144" width="9.7109375" style="3" bestFit="1" customWidth="1"/>
    <col min="16145" max="16145" width="10.7109375" style="3" customWidth="1"/>
    <col min="16146" max="16146" width="11" style="3" customWidth="1"/>
    <col min="16147" max="16384" width="9.140625" style="3"/>
  </cols>
  <sheetData>
    <row r="1" spans="1:26" s="199" customFormat="1" ht="20.100000000000001" customHeight="1" x14ac:dyDescent="0.35">
      <c r="A1" s="196"/>
      <c r="B1" s="442" t="s">
        <v>1296</v>
      </c>
      <c r="D1" s="440"/>
      <c r="E1" s="440"/>
      <c r="F1" s="440"/>
      <c r="G1" s="440"/>
      <c r="H1" s="187"/>
      <c r="I1" s="187"/>
      <c r="J1" s="188"/>
      <c r="K1" s="188"/>
      <c r="L1" s="188"/>
      <c r="M1" s="188"/>
      <c r="N1" s="188"/>
      <c r="O1" s="188"/>
      <c r="P1" s="189"/>
      <c r="Q1" s="422"/>
      <c r="R1" s="441" t="s">
        <v>1252</v>
      </c>
      <c r="S1" s="197"/>
      <c r="T1" s="537"/>
      <c r="U1" s="424"/>
      <c r="V1" s="424"/>
      <c r="W1" s="424"/>
      <c r="X1" s="424"/>
      <c r="Y1" s="198"/>
      <c r="Z1" s="198"/>
    </row>
    <row r="2" spans="1:26" s="203" customFormat="1" ht="20.100000000000001" customHeight="1" outlineLevel="1" x14ac:dyDescent="0.3">
      <c r="A2" s="200"/>
      <c r="B2" s="442" t="s">
        <v>1500</v>
      </c>
      <c r="C2" s="191"/>
      <c r="E2" s="190"/>
      <c r="F2" s="190"/>
      <c r="G2" s="192"/>
      <c r="H2" s="193"/>
      <c r="I2" s="193"/>
      <c r="J2" s="193"/>
      <c r="K2" s="193"/>
      <c r="L2" s="192"/>
      <c r="M2" s="193"/>
      <c r="N2" s="193"/>
      <c r="O2" s="192"/>
      <c r="P2" s="194"/>
      <c r="Q2" s="436"/>
      <c r="R2" s="437" t="s">
        <v>1253</v>
      </c>
      <c r="S2" s="201"/>
      <c r="T2" s="541"/>
      <c r="U2" s="542"/>
      <c r="V2" s="425"/>
      <c r="W2" s="425"/>
      <c r="X2" s="425"/>
      <c r="Y2" s="202"/>
      <c r="Z2" s="202"/>
    </row>
    <row r="3" spans="1:26" s="203" customFormat="1" ht="20.100000000000001" customHeight="1" outlineLevel="1" x14ac:dyDescent="0.3">
      <c r="A3" s="200"/>
      <c r="B3" s="442" t="s">
        <v>1501</v>
      </c>
      <c r="C3" s="191"/>
      <c r="D3" s="436"/>
      <c r="F3" s="191"/>
      <c r="G3" s="191"/>
      <c r="H3" s="187"/>
      <c r="I3" s="187"/>
      <c r="J3" s="195"/>
      <c r="K3" s="195"/>
      <c r="L3" s="187"/>
      <c r="M3" s="195"/>
      <c r="N3" s="195"/>
      <c r="O3" s="204"/>
      <c r="P3" s="205"/>
      <c r="Q3" s="436"/>
      <c r="R3" s="439" t="s">
        <v>1254</v>
      </c>
      <c r="S3" s="201"/>
      <c r="T3" s="543"/>
      <c r="U3" s="544"/>
      <c r="V3" s="423"/>
      <c r="W3" s="423"/>
      <c r="X3" s="423"/>
      <c r="Y3" s="202"/>
      <c r="Z3" s="202"/>
    </row>
    <row r="4" spans="1:26" s="203" customFormat="1" ht="20.100000000000001" customHeight="1" outlineLevel="1" x14ac:dyDescent="0.3">
      <c r="A4" s="200"/>
      <c r="B4" s="442" t="s">
        <v>1502</v>
      </c>
      <c r="C4" s="191"/>
      <c r="E4" s="191"/>
      <c r="F4" s="191"/>
      <c r="G4" s="191"/>
      <c r="H4" s="187"/>
      <c r="I4" s="187"/>
      <c r="J4" s="195"/>
      <c r="K4" s="195"/>
      <c r="L4" s="187"/>
      <c r="M4" s="195"/>
      <c r="N4" s="195"/>
      <c r="O4" s="204"/>
      <c r="P4" s="205"/>
      <c r="Q4" s="192"/>
      <c r="R4" s="438" t="s">
        <v>1255</v>
      </c>
      <c r="S4" s="201"/>
      <c r="T4" s="543"/>
      <c r="U4" s="544"/>
      <c r="V4" s="423"/>
      <c r="W4" s="423"/>
      <c r="X4" s="423"/>
      <c r="Y4" s="202"/>
      <c r="Z4" s="202"/>
    </row>
    <row r="5" spans="1:26" s="203" customFormat="1" ht="20.100000000000001" customHeight="1" outlineLevel="1" x14ac:dyDescent="0.35">
      <c r="A5" s="200"/>
      <c r="B5" s="1250" t="s">
        <v>1513</v>
      </c>
      <c r="C5" s="1250"/>
      <c r="D5" s="1250"/>
      <c r="E5" s="1250"/>
      <c r="F5" s="1250"/>
      <c r="G5" s="1250"/>
      <c r="H5" s="1250"/>
      <c r="I5" s="1250"/>
      <c r="J5" s="1250"/>
      <c r="K5" s="1250"/>
      <c r="L5" s="1250"/>
      <c r="M5" s="1250"/>
      <c r="N5" s="1250"/>
      <c r="O5" s="1250"/>
      <c r="P5" s="1250"/>
      <c r="Q5" s="1250"/>
      <c r="R5" s="1250"/>
      <c r="S5" s="201"/>
      <c r="T5" s="543"/>
      <c r="U5" s="544"/>
      <c r="V5" s="423"/>
      <c r="W5" s="423"/>
      <c r="X5" s="423"/>
      <c r="Y5" s="202"/>
      <c r="Z5" s="202"/>
    </row>
    <row r="6" spans="1:26" s="203" customFormat="1" ht="20.100000000000001" customHeight="1" outlineLevel="1" x14ac:dyDescent="0.3">
      <c r="A6" s="200"/>
      <c r="B6" s="1250" t="s">
        <v>10</v>
      </c>
      <c r="C6" s="1250"/>
      <c r="D6" s="1250"/>
      <c r="E6" s="1250"/>
      <c r="F6" s="1250"/>
      <c r="G6" s="1250"/>
      <c r="H6" s="1250"/>
      <c r="I6" s="1250"/>
      <c r="J6" s="1250"/>
      <c r="K6" s="1250"/>
      <c r="L6" s="1250"/>
      <c r="M6" s="1250"/>
      <c r="N6" s="1250"/>
      <c r="O6" s="1250"/>
      <c r="P6" s="1250"/>
      <c r="Q6" s="1250"/>
      <c r="R6" s="1250"/>
      <c r="S6" s="201"/>
      <c r="T6" s="545"/>
      <c r="U6" s="546"/>
    </row>
    <row r="7" spans="1:26" s="203" customFormat="1" ht="20.100000000000001" customHeight="1" outlineLevel="1" x14ac:dyDescent="0.3">
      <c r="A7" s="200"/>
      <c r="B7" s="1250" t="s">
        <v>1497</v>
      </c>
      <c r="C7" s="1250"/>
      <c r="D7" s="1250"/>
      <c r="E7" s="1250"/>
      <c r="F7" s="1250"/>
      <c r="G7" s="1250"/>
      <c r="H7" s="1250"/>
      <c r="I7" s="1250"/>
      <c r="J7" s="1250"/>
      <c r="K7" s="1250"/>
      <c r="L7" s="1250"/>
      <c r="M7" s="1250"/>
      <c r="N7" s="1250"/>
      <c r="O7" s="1250"/>
      <c r="P7" s="1250"/>
      <c r="Q7" s="1250"/>
      <c r="R7" s="1250"/>
      <c r="S7" s="201"/>
      <c r="T7" s="545"/>
      <c r="U7" s="546"/>
    </row>
    <row r="8" spans="1:26" s="203" customFormat="1" ht="20.100000000000001" customHeight="1" outlineLevel="1" x14ac:dyDescent="0.35">
      <c r="A8" s="200"/>
      <c r="B8" s="1250" t="s">
        <v>1498</v>
      </c>
      <c r="C8" s="1250"/>
      <c r="D8" s="1250"/>
      <c r="E8" s="1250"/>
      <c r="F8" s="1250"/>
      <c r="G8" s="1250"/>
      <c r="H8" s="1250"/>
      <c r="I8" s="1250"/>
      <c r="J8" s="1250"/>
      <c r="K8" s="1250"/>
      <c r="L8" s="1250"/>
      <c r="M8" s="1250"/>
      <c r="N8" s="1250"/>
      <c r="O8" s="1250"/>
      <c r="P8" s="1250"/>
      <c r="Q8" s="1250"/>
      <c r="R8" s="1250"/>
      <c r="S8" s="201"/>
      <c r="T8" s="545"/>
      <c r="U8" s="546"/>
    </row>
    <row r="9" spans="1:26" outlineLevel="1" thickBot="1" x14ac:dyDescent="0.35">
      <c r="A9" s="1"/>
      <c r="B9" s="292"/>
      <c r="D9" s="443"/>
      <c r="E9" s="443"/>
      <c r="F9" s="443"/>
      <c r="G9" s="18"/>
      <c r="H9" s="18"/>
      <c r="I9" s="18"/>
      <c r="J9" s="604"/>
      <c r="K9" s="604"/>
      <c r="L9" s="604"/>
      <c r="M9" s="18"/>
      <c r="N9" s="18"/>
      <c r="O9" s="18"/>
      <c r="P9" s="17"/>
      <c r="Q9" s="17"/>
      <c r="R9" s="17"/>
      <c r="S9" s="53"/>
    </row>
    <row r="10" spans="1:26" x14ac:dyDescent="0.25">
      <c r="A10" s="1"/>
      <c r="B10" s="1251" t="s">
        <v>11</v>
      </c>
      <c r="C10" s="1254" t="s">
        <v>12</v>
      </c>
      <c r="D10" s="1254"/>
      <c r="E10" s="1254"/>
      <c r="F10" s="1255"/>
      <c r="G10" s="1260" t="s">
        <v>13</v>
      </c>
      <c r="H10" s="1261"/>
      <c r="I10" s="1262"/>
      <c r="J10" s="1263" t="s">
        <v>14</v>
      </c>
      <c r="K10" s="1264"/>
      <c r="L10" s="1265"/>
      <c r="M10" s="1266" t="s">
        <v>76</v>
      </c>
      <c r="N10" s="1267"/>
      <c r="O10" s="1268"/>
      <c r="P10" s="1269" t="s">
        <v>15</v>
      </c>
      <c r="Q10" s="1270"/>
      <c r="R10" s="1271"/>
      <c r="S10" s="53"/>
    </row>
    <row r="11" spans="1:26" ht="23.25" customHeight="1" x14ac:dyDescent="0.25">
      <c r="A11" s="1"/>
      <c r="B11" s="1252"/>
      <c r="C11" s="1256"/>
      <c r="D11" s="1256"/>
      <c r="E11" s="1256"/>
      <c r="F11" s="1257"/>
      <c r="G11" s="490" t="s">
        <v>16</v>
      </c>
      <c r="H11" s="467" t="s">
        <v>17</v>
      </c>
      <c r="I11" s="491" t="s">
        <v>18</v>
      </c>
      <c r="J11" s="492" t="s">
        <v>16</v>
      </c>
      <c r="K11" s="468" t="s">
        <v>17</v>
      </c>
      <c r="L11" s="493" t="s">
        <v>18</v>
      </c>
      <c r="M11" s="494" t="s">
        <v>16</v>
      </c>
      <c r="N11" s="469" t="s">
        <v>17</v>
      </c>
      <c r="O11" s="495" t="s">
        <v>18</v>
      </c>
      <c r="P11" s="496" t="s">
        <v>16</v>
      </c>
      <c r="Q11" s="470" t="s">
        <v>17</v>
      </c>
      <c r="R11" s="471" t="s">
        <v>18</v>
      </c>
      <c r="S11" s="53"/>
    </row>
    <row r="12" spans="1:26" ht="18.75" thickBot="1" x14ac:dyDescent="0.3">
      <c r="A12" s="1"/>
      <c r="B12" s="1253"/>
      <c r="C12" s="1258"/>
      <c r="D12" s="1258"/>
      <c r="E12" s="1258"/>
      <c r="F12" s="1259"/>
      <c r="G12" s="497" t="s">
        <v>1295</v>
      </c>
      <c r="H12" s="498" t="s">
        <v>1295</v>
      </c>
      <c r="I12" s="499" t="s">
        <v>1295</v>
      </c>
      <c r="J12" s="500" t="s">
        <v>1295</v>
      </c>
      <c r="K12" s="501" t="s">
        <v>1295</v>
      </c>
      <c r="L12" s="502" t="s">
        <v>1295</v>
      </c>
      <c r="M12" s="503" t="s">
        <v>1295</v>
      </c>
      <c r="N12" s="504" t="s">
        <v>1295</v>
      </c>
      <c r="O12" s="505" t="s">
        <v>1295</v>
      </c>
      <c r="P12" s="506" t="s">
        <v>1295</v>
      </c>
      <c r="Q12" s="507" t="s">
        <v>1295</v>
      </c>
      <c r="R12" s="508" t="s">
        <v>1295</v>
      </c>
      <c r="S12" s="53"/>
      <c r="U12" s="584"/>
    </row>
    <row r="13" spans="1:26" ht="17.45" customHeight="1" x14ac:dyDescent="0.3">
      <c r="A13" s="1"/>
      <c r="B13" s="1232" t="s">
        <v>1299</v>
      </c>
      <c r="C13" s="1233"/>
      <c r="D13" s="1233"/>
      <c r="E13" s="1233"/>
      <c r="F13" s="1233"/>
      <c r="G13" s="1233"/>
      <c r="H13" s="1233"/>
      <c r="I13" s="1233"/>
      <c r="J13" s="1233"/>
      <c r="K13" s="1233"/>
      <c r="L13" s="1233"/>
      <c r="M13" s="1233"/>
      <c r="N13" s="1233"/>
      <c r="O13" s="1233"/>
      <c r="P13" s="1233"/>
      <c r="Q13" s="1233"/>
      <c r="R13" s="1234"/>
      <c r="S13" s="53"/>
    </row>
    <row r="14" spans="1:26" ht="17.45" customHeight="1" x14ac:dyDescent="0.25">
      <c r="A14" s="1"/>
      <c r="B14" s="1243" t="s">
        <v>19</v>
      </c>
      <c r="C14" s="1239"/>
      <c r="D14" s="1239"/>
      <c r="E14" s="1239"/>
      <c r="F14" s="1239"/>
      <c r="G14" s="1239"/>
      <c r="H14" s="1239"/>
      <c r="I14" s="1239"/>
      <c r="J14" s="1239"/>
      <c r="K14" s="1239"/>
      <c r="L14" s="1239"/>
      <c r="M14" s="1239"/>
      <c r="N14" s="1239"/>
      <c r="O14" s="1239"/>
      <c r="P14" s="1239"/>
      <c r="Q14" s="1239"/>
      <c r="R14" s="1244"/>
      <c r="S14" s="53"/>
    </row>
    <row r="15" spans="1:26" ht="17.45" customHeight="1" x14ac:dyDescent="0.25">
      <c r="A15" s="1"/>
      <c r="B15" s="447" t="s">
        <v>20</v>
      </c>
      <c r="C15" s="1225" t="s">
        <v>21</v>
      </c>
      <c r="D15" s="1225"/>
      <c r="E15" s="1225"/>
      <c r="F15" s="1225"/>
      <c r="G15" s="449">
        <v>0</v>
      </c>
      <c r="H15" s="449">
        <f>G15*$E$120</f>
        <v>0</v>
      </c>
      <c r="I15" s="449">
        <f>G15+H15</f>
        <v>0</v>
      </c>
      <c r="J15" s="450">
        <v>0</v>
      </c>
      <c r="K15" s="450">
        <f>J15*$E$120</f>
        <v>0</v>
      </c>
      <c r="L15" s="450">
        <f>J15+K15</f>
        <v>0</v>
      </c>
      <c r="M15" s="451">
        <v>0</v>
      </c>
      <c r="N15" s="451">
        <f>M15*$E$120</f>
        <v>0</v>
      </c>
      <c r="O15" s="451">
        <f>M15+N15</f>
        <v>0</v>
      </c>
      <c r="P15" s="452">
        <f>G15+M15+J15</f>
        <v>0</v>
      </c>
      <c r="Q15" s="452">
        <f>H15+N15+K15</f>
        <v>0</v>
      </c>
      <c r="R15" s="453">
        <f>I15+O15+L15</f>
        <v>0</v>
      </c>
      <c r="S15" s="53"/>
      <c r="U15" s="584"/>
    </row>
    <row r="16" spans="1:26" ht="17.45" customHeight="1" x14ac:dyDescent="0.3">
      <c r="A16" s="1"/>
      <c r="B16" s="447" t="s">
        <v>22</v>
      </c>
      <c r="C16" s="1224" t="s">
        <v>1323</v>
      </c>
      <c r="D16" s="1224"/>
      <c r="E16" s="1224"/>
      <c r="F16" s="1224"/>
      <c r="G16" s="449">
        <f>SUM(G17:G18)</f>
        <v>0</v>
      </c>
      <c r="H16" s="449">
        <f t="shared" ref="H16:O16" si="0">SUM(H17:H18)</f>
        <v>0</v>
      </c>
      <c r="I16" s="449">
        <f t="shared" si="0"/>
        <v>0</v>
      </c>
      <c r="J16" s="450" t="e">
        <f t="shared" si="0"/>
        <v>#REF!</v>
      </c>
      <c r="K16" s="450" t="e">
        <f t="shared" si="0"/>
        <v>#REF!</v>
      </c>
      <c r="L16" s="450" t="e">
        <f t="shared" si="0"/>
        <v>#REF!</v>
      </c>
      <c r="M16" s="451">
        <f t="shared" si="0"/>
        <v>0</v>
      </c>
      <c r="N16" s="451">
        <f t="shared" si="0"/>
        <v>0</v>
      </c>
      <c r="O16" s="451">
        <f t="shared" si="0"/>
        <v>0</v>
      </c>
      <c r="P16" s="452" t="e">
        <f t="shared" ref="P16:R20" si="1">G16+M16+J16</f>
        <v>#REF!</v>
      </c>
      <c r="Q16" s="452" t="e">
        <f t="shared" si="1"/>
        <v>#REF!</v>
      </c>
      <c r="R16" s="453" t="e">
        <f t="shared" si="1"/>
        <v>#REF!</v>
      </c>
      <c r="S16" s="53"/>
    </row>
    <row r="17" spans="1:21" ht="17.45" customHeight="1" x14ac:dyDescent="0.3">
      <c r="A17" s="1"/>
      <c r="B17" s="447" t="s">
        <v>1294</v>
      </c>
      <c r="C17" s="1224" t="s">
        <v>1437</v>
      </c>
      <c r="D17" s="1224"/>
      <c r="E17" s="1224"/>
      <c r="F17" s="1224"/>
      <c r="G17" s="449">
        <v>0</v>
      </c>
      <c r="H17" s="449">
        <f>G17*$E$120</f>
        <v>0</v>
      </c>
      <c r="I17" s="449">
        <f t="shared" ref="I17:I20" si="2">G17+H17</f>
        <v>0</v>
      </c>
      <c r="J17" s="450" t="e">
        <f>'01-DO'!D31</f>
        <v>#REF!</v>
      </c>
      <c r="K17" s="450" t="e">
        <f>J17*$E$120</f>
        <v>#REF!</v>
      </c>
      <c r="L17" s="450" t="e">
        <f t="shared" ref="L17:L20" si="3">J17+K17</f>
        <v>#REF!</v>
      </c>
      <c r="M17" s="451">
        <v>0</v>
      </c>
      <c r="N17" s="451">
        <f>M17*$E$120</f>
        <v>0</v>
      </c>
      <c r="O17" s="451">
        <f t="shared" ref="O17:O20" si="4">M17+N17</f>
        <v>0</v>
      </c>
      <c r="P17" s="452" t="e">
        <f t="shared" si="1"/>
        <v>#REF!</v>
      </c>
      <c r="Q17" s="452" t="e">
        <f t="shared" si="1"/>
        <v>#REF!</v>
      </c>
      <c r="R17" s="453" t="e">
        <f t="shared" si="1"/>
        <v>#REF!</v>
      </c>
      <c r="S17" s="53"/>
    </row>
    <row r="18" spans="1:21" ht="17.45" hidden="1" customHeight="1" x14ac:dyDescent="0.3">
      <c r="A18" s="1"/>
      <c r="B18" s="447" t="s">
        <v>1303</v>
      </c>
      <c r="C18" s="1224"/>
      <c r="D18" s="1224"/>
      <c r="E18" s="1224"/>
      <c r="F18" s="1224"/>
      <c r="G18" s="449">
        <v>0</v>
      </c>
      <c r="H18" s="449">
        <f>G18*$E$120</f>
        <v>0</v>
      </c>
      <c r="I18" s="449">
        <f t="shared" si="2"/>
        <v>0</v>
      </c>
      <c r="J18" s="450"/>
      <c r="K18" s="450"/>
      <c r="L18" s="450"/>
      <c r="M18" s="451"/>
      <c r="N18" s="451"/>
      <c r="O18" s="451"/>
      <c r="P18" s="452"/>
      <c r="Q18" s="452"/>
      <c r="R18" s="453"/>
      <c r="S18" s="53"/>
    </row>
    <row r="19" spans="1:21" ht="17.45" customHeight="1" x14ac:dyDescent="0.25">
      <c r="A19" s="1"/>
      <c r="B19" s="447" t="s">
        <v>23</v>
      </c>
      <c r="C19" s="1225" t="s">
        <v>24</v>
      </c>
      <c r="D19" s="1225"/>
      <c r="E19" s="1225"/>
      <c r="F19" s="1225"/>
      <c r="G19" s="449">
        <v>0</v>
      </c>
      <c r="H19" s="449">
        <f>G19*$E$120</f>
        <v>0</v>
      </c>
      <c r="I19" s="449">
        <f t="shared" si="2"/>
        <v>0</v>
      </c>
      <c r="J19" s="450">
        <v>0</v>
      </c>
      <c r="K19" s="450">
        <f>J19*$E$120</f>
        <v>0</v>
      </c>
      <c r="L19" s="450">
        <f t="shared" si="3"/>
        <v>0</v>
      </c>
      <c r="M19" s="451">
        <v>0</v>
      </c>
      <c r="N19" s="451">
        <f>M19*$E$120</f>
        <v>0</v>
      </c>
      <c r="O19" s="451">
        <f t="shared" si="4"/>
        <v>0</v>
      </c>
      <c r="P19" s="452">
        <f t="shared" si="1"/>
        <v>0</v>
      </c>
      <c r="Q19" s="452">
        <f t="shared" si="1"/>
        <v>0</v>
      </c>
      <c r="R19" s="453">
        <f t="shared" si="1"/>
        <v>0</v>
      </c>
      <c r="S19" s="53"/>
    </row>
    <row r="20" spans="1:21" ht="17.45" customHeight="1" x14ac:dyDescent="0.25">
      <c r="A20" s="1"/>
      <c r="B20" s="447">
        <v>1.4</v>
      </c>
      <c r="C20" s="1225" t="s">
        <v>1302</v>
      </c>
      <c r="D20" s="1225"/>
      <c r="E20" s="1225"/>
      <c r="F20" s="1225"/>
      <c r="G20" s="449">
        <v>0</v>
      </c>
      <c r="H20" s="449">
        <f>G20*$E$120</f>
        <v>0</v>
      </c>
      <c r="I20" s="449">
        <f t="shared" si="2"/>
        <v>0</v>
      </c>
      <c r="J20" s="450">
        <v>0</v>
      </c>
      <c r="K20" s="450">
        <f>J20*$E$120</f>
        <v>0</v>
      </c>
      <c r="L20" s="450">
        <f t="shared" si="3"/>
        <v>0</v>
      </c>
      <c r="M20" s="451">
        <v>0</v>
      </c>
      <c r="N20" s="451">
        <f>M20*$E$120</f>
        <v>0</v>
      </c>
      <c r="O20" s="451">
        <f t="shared" si="4"/>
        <v>0</v>
      </c>
      <c r="P20" s="452">
        <f t="shared" si="1"/>
        <v>0</v>
      </c>
      <c r="Q20" s="452">
        <f t="shared" si="1"/>
        <v>0</v>
      </c>
      <c r="R20" s="453">
        <f t="shared" si="1"/>
        <v>0</v>
      </c>
      <c r="S20" s="53"/>
    </row>
    <row r="21" spans="1:21" ht="17.45" customHeight="1" thickBot="1" x14ac:dyDescent="0.35">
      <c r="A21" s="1"/>
      <c r="B21" s="1204" t="s">
        <v>25</v>
      </c>
      <c r="C21" s="1205"/>
      <c r="D21" s="1205"/>
      <c r="E21" s="1205"/>
      <c r="F21" s="1205"/>
      <c r="G21" s="509">
        <f t="shared" ref="G21:O21" si="5">G15+G16+G19+G20</f>
        <v>0</v>
      </c>
      <c r="H21" s="509">
        <f t="shared" si="5"/>
        <v>0</v>
      </c>
      <c r="I21" s="509">
        <f t="shared" si="5"/>
        <v>0</v>
      </c>
      <c r="J21" s="509" t="e">
        <f t="shared" si="5"/>
        <v>#REF!</v>
      </c>
      <c r="K21" s="509" t="e">
        <f t="shared" si="5"/>
        <v>#REF!</v>
      </c>
      <c r="L21" s="509" t="e">
        <f t="shared" si="5"/>
        <v>#REF!</v>
      </c>
      <c r="M21" s="509">
        <f t="shared" si="5"/>
        <v>0</v>
      </c>
      <c r="N21" s="509">
        <f t="shared" si="5"/>
        <v>0</v>
      </c>
      <c r="O21" s="509">
        <f t="shared" si="5"/>
        <v>0</v>
      </c>
      <c r="P21" s="509" t="e">
        <f>P15+P16+P19+P20</f>
        <v>#REF!</v>
      </c>
      <c r="Q21" s="509" t="e">
        <f t="shared" ref="Q21:R21" si="6">Q15+Q16+Q19+Q20</f>
        <v>#REF!</v>
      </c>
      <c r="R21" s="510" t="e">
        <f t="shared" si="6"/>
        <v>#REF!</v>
      </c>
      <c r="S21" s="53"/>
      <c r="T21" s="582" t="e">
        <f>R21/P21</f>
        <v>#REF!</v>
      </c>
    </row>
    <row r="22" spans="1:21" ht="17.45" customHeight="1" x14ac:dyDescent="0.3">
      <c r="A22" s="1"/>
      <c r="B22" s="1232" t="s">
        <v>1300</v>
      </c>
      <c r="C22" s="1233"/>
      <c r="D22" s="1233"/>
      <c r="E22" s="1233"/>
      <c r="F22" s="1233"/>
      <c r="G22" s="1233"/>
      <c r="H22" s="1233"/>
      <c r="I22" s="1233"/>
      <c r="J22" s="1233"/>
      <c r="K22" s="1233"/>
      <c r="L22" s="1233"/>
      <c r="M22" s="1233"/>
      <c r="N22" s="1233"/>
      <c r="O22" s="1233"/>
      <c r="P22" s="1233"/>
      <c r="Q22" s="1233"/>
      <c r="R22" s="1234"/>
      <c r="S22" s="53"/>
    </row>
    <row r="23" spans="1:21" ht="17.45" customHeight="1" x14ac:dyDescent="0.25">
      <c r="A23" s="1"/>
      <c r="B23" s="1243" t="s">
        <v>26</v>
      </c>
      <c r="C23" s="1239"/>
      <c r="D23" s="1239"/>
      <c r="E23" s="1239"/>
      <c r="F23" s="1239"/>
      <c r="G23" s="1239"/>
      <c r="H23" s="1239"/>
      <c r="I23" s="1239"/>
      <c r="J23" s="1239"/>
      <c r="K23" s="1239"/>
      <c r="L23" s="1239"/>
      <c r="M23" s="1239"/>
      <c r="N23" s="1239"/>
      <c r="O23" s="1239"/>
      <c r="P23" s="1239"/>
      <c r="Q23" s="1239"/>
      <c r="R23" s="1244"/>
      <c r="S23" s="53"/>
    </row>
    <row r="24" spans="1:21" ht="17.45" customHeight="1" x14ac:dyDescent="0.3">
      <c r="A24" s="1"/>
      <c r="B24" s="454" t="s">
        <v>27</v>
      </c>
      <c r="C24" s="1224" t="s">
        <v>1439</v>
      </c>
      <c r="D24" s="1224"/>
      <c r="E24" s="1224"/>
      <c r="F24" s="1224"/>
      <c r="G24" s="449">
        <v>0</v>
      </c>
      <c r="H24" s="449">
        <f>G24*$E$120</f>
        <v>0</v>
      </c>
      <c r="I24" s="449">
        <f>G24+H24</f>
        <v>0</v>
      </c>
      <c r="J24" s="450" t="e">
        <f>'03-DO'!D23</f>
        <v>#REF!</v>
      </c>
      <c r="K24" s="450" t="e">
        <f>J24*$E$120</f>
        <v>#REF!</v>
      </c>
      <c r="L24" s="450" t="e">
        <f>J24+K24</f>
        <v>#REF!</v>
      </c>
      <c r="M24" s="451">
        <v>0</v>
      </c>
      <c r="N24" s="451">
        <f>M24*$E$120</f>
        <v>0</v>
      </c>
      <c r="O24" s="451">
        <f>M24+N24</f>
        <v>0</v>
      </c>
      <c r="P24" s="452" t="e">
        <f t="shared" ref="P24:R27" si="7">G24+M24+J24</f>
        <v>#REF!</v>
      </c>
      <c r="Q24" s="452" t="e">
        <f t="shared" si="7"/>
        <v>#REF!</v>
      </c>
      <c r="R24" s="453" t="e">
        <f t="shared" si="7"/>
        <v>#REF!</v>
      </c>
      <c r="S24" s="53"/>
    </row>
    <row r="25" spans="1:21" s="7" customFormat="1" ht="17.45" customHeight="1" x14ac:dyDescent="0.3">
      <c r="A25" s="6"/>
      <c r="B25" s="454" t="s">
        <v>28</v>
      </c>
      <c r="C25" s="1224" t="s">
        <v>1440</v>
      </c>
      <c r="D25" s="1224"/>
      <c r="E25" s="1224"/>
      <c r="F25" s="1224"/>
      <c r="G25" s="449">
        <v>0</v>
      </c>
      <c r="H25" s="449">
        <f>G25*$E$120</f>
        <v>0</v>
      </c>
      <c r="I25" s="449">
        <f>G25+H25</f>
        <v>0</v>
      </c>
      <c r="J25" s="450" t="e">
        <f>'04-DO'!D23</f>
        <v>#REF!</v>
      </c>
      <c r="K25" s="450" t="e">
        <f>J25*$E$120</f>
        <v>#REF!</v>
      </c>
      <c r="L25" s="450" t="e">
        <f>J25+K25</f>
        <v>#REF!</v>
      </c>
      <c r="M25" s="451">
        <v>0</v>
      </c>
      <c r="N25" s="451">
        <f>M25*$E$120</f>
        <v>0</v>
      </c>
      <c r="O25" s="451">
        <f>M25+N25</f>
        <v>0</v>
      </c>
      <c r="P25" s="452" t="e">
        <f t="shared" si="7"/>
        <v>#REF!</v>
      </c>
      <c r="Q25" s="452" t="e">
        <f t="shared" si="7"/>
        <v>#REF!</v>
      </c>
      <c r="R25" s="453" t="e">
        <f t="shared" si="7"/>
        <v>#REF!</v>
      </c>
      <c r="S25" s="56"/>
      <c r="T25" s="585"/>
      <c r="U25" s="586"/>
    </row>
    <row r="26" spans="1:21" s="7" customFormat="1" ht="17.45" customHeight="1" x14ac:dyDescent="0.3">
      <c r="A26" s="6"/>
      <c r="B26" s="454" t="s">
        <v>71</v>
      </c>
      <c r="C26" s="1224" t="s">
        <v>1441</v>
      </c>
      <c r="D26" s="1224"/>
      <c r="E26" s="1224"/>
      <c r="F26" s="1224"/>
      <c r="G26" s="449">
        <v>0</v>
      </c>
      <c r="H26" s="449">
        <f>G26*$E$120</f>
        <v>0</v>
      </c>
      <c r="I26" s="449">
        <f>G26+H26</f>
        <v>0</v>
      </c>
      <c r="J26" s="450" t="e">
        <f>'05-DO'!D23</f>
        <v>#REF!</v>
      </c>
      <c r="K26" s="450" t="e">
        <f>J26*$E$120</f>
        <v>#REF!</v>
      </c>
      <c r="L26" s="450" t="e">
        <f>J26+K26</f>
        <v>#REF!</v>
      </c>
      <c r="M26" s="451">
        <v>0</v>
      </c>
      <c r="N26" s="451">
        <f>M26*$E$120</f>
        <v>0</v>
      </c>
      <c r="O26" s="451">
        <f>M26+N26</f>
        <v>0</v>
      </c>
      <c r="P26" s="452" t="e">
        <f t="shared" si="7"/>
        <v>#REF!</v>
      </c>
      <c r="Q26" s="452" t="e">
        <f t="shared" si="7"/>
        <v>#REF!</v>
      </c>
      <c r="R26" s="453" t="e">
        <f t="shared" si="7"/>
        <v>#REF!</v>
      </c>
      <c r="S26" s="56"/>
      <c r="T26" s="585"/>
      <c r="U26" s="586"/>
    </row>
    <row r="27" spans="1:21" s="7" customFormat="1" ht="17.45" customHeight="1" x14ac:dyDescent="0.3">
      <c r="A27" s="6"/>
      <c r="B27" s="454" t="s">
        <v>72</v>
      </c>
      <c r="C27" s="1224" t="s">
        <v>1442</v>
      </c>
      <c r="D27" s="1224"/>
      <c r="E27" s="1224"/>
      <c r="F27" s="1224"/>
      <c r="G27" s="449">
        <v>0</v>
      </c>
      <c r="H27" s="449">
        <f>G27*$E$120</f>
        <v>0</v>
      </c>
      <c r="I27" s="449">
        <f>G27+H27</f>
        <v>0</v>
      </c>
      <c r="J27" s="450" t="e">
        <f>'06-DO'!D23</f>
        <v>#REF!</v>
      </c>
      <c r="K27" s="450" t="e">
        <f>J27*$E$120</f>
        <v>#REF!</v>
      </c>
      <c r="L27" s="450" t="e">
        <f>J27+K27</f>
        <v>#REF!</v>
      </c>
      <c r="M27" s="451">
        <v>0</v>
      </c>
      <c r="N27" s="451">
        <f>M27*$E$120</f>
        <v>0</v>
      </c>
      <c r="O27" s="451">
        <f>M27+N27</f>
        <v>0</v>
      </c>
      <c r="P27" s="452" t="e">
        <f t="shared" si="7"/>
        <v>#REF!</v>
      </c>
      <c r="Q27" s="452" t="e">
        <f t="shared" si="7"/>
        <v>#REF!</v>
      </c>
      <c r="R27" s="453" t="e">
        <f t="shared" si="7"/>
        <v>#REF!</v>
      </c>
      <c r="S27" s="56"/>
      <c r="T27" s="585"/>
      <c r="U27" s="586"/>
    </row>
    <row r="28" spans="1:21" s="7" customFormat="1" ht="17.45" hidden="1" customHeight="1" x14ac:dyDescent="0.3">
      <c r="A28" s="6"/>
      <c r="B28" s="448"/>
      <c r="C28" s="1224"/>
      <c r="D28" s="1224"/>
      <c r="E28" s="1224"/>
      <c r="F28" s="1224"/>
      <c r="G28" s="449"/>
      <c r="H28" s="449"/>
      <c r="I28" s="449"/>
      <c r="J28" s="450"/>
      <c r="K28" s="450"/>
      <c r="L28" s="450"/>
      <c r="M28" s="451"/>
      <c r="N28" s="451"/>
      <c r="O28" s="451"/>
      <c r="P28" s="452"/>
      <c r="Q28" s="452"/>
      <c r="R28" s="453"/>
      <c r="S28" s="56"/>
      <c r="T28" s="585"/>
      <c r="U28" s="586"/>
    </row>
    <row r="29" spans="1:21" ht="17.45" customHeight="1" thickBot="1" x14ac:dyDescent="0.35">
      <c r="A29" s="1"/>
      <c r="B29" s="1204" t="s">
        <v>29</v>
      </c>
      <c r="C29" s="1205"/>
      <c r="D29" s="1205"/>
      <c r="E29" s="1205"/>
      <c r="F29" s="1205"/>
      <c r="G29" s="509">
        <f>SUM(G24:G28)</f>
        <v>0</v>
      </c>
      <c r="H29" s="509">
        <f t="shared" ref="H29:I29" si="8">SUM(H24:H28)</f>
        <v>0</v>
      </c>
      <c r="I29" s="509">
        <f t="shared" si="8"/>
        <v>0</v>
      </c>
      <c r="J29" s="509" t="e">
        <f>SUM(J24:J28)</f>
        <v>#REF!</v>
      </c>
      <c r="K29" s="509" t="e">
        <f t="shared" ref="K29:L29" si="9">SUM(K24:K28)</f>
        <v>#REF!</v>
      </c>
      <c r="L29" s="509" t="e">
        <f t="shared" si="9"/>
        <v>#REF!</v>
      </c>
      <c r="M29" s="509">
        <f>SUM(M24:M28)</f>
        <v>0</v>
      </c>
      <c r="N29" s="509">
        <f t="shared" ref="N29:O29" si="10">SUM(N24:N28)</f>
        <v>0</v>
      </c>
      <c r="O29" s="509">
        <f t="shared" si="10"/>
        <v>0</v>
      </c>
      <c r="P29" s="509" t="e">
        <f>SUM(P24:P27)</f>
        <v>#REF!</v>
      </c>
      <c r="Q29" s="509" t="e">
        <f t="shared" ref="Q29:R29" si="11">SUM(Q24:Q27)</f>
        <v>#REF!</v>
      </c>
      <c r="R29" s="510" t="e">
        <f t="shared" si="11"/>
        <v>#REF!</v>
      </c>
      <c r="S29" s="53"/>
      <c r="T29" s="582" t="e">
        <f>R29/P29</f>
        <v>#REF!</v>
      </c>
    </row>
    <row r="30" spans="1:21" ht="17.45" customHeight="1" x14ac:dyDescent="0.3">
      <c r="A30" s="1"/>
      <c r="B30" s="1232" t="s">
        <v>1321</v>
      </c>
      <c r="C30" s="1233"/>
      <c r="D30" s="1233"/>
      <c r="E30" s="1233"/>
      <c r="F30" s="1233"/>
      <c r="G30" s="1233"/>
      <c r="H30" s="1233"/>
      <c r="I30" s="1233"/>
      <c r="J30" s="1233"/>
      <c r="K30" s="1233"/>
      <c r="L30" s="1233"/>
      <c r="M30" s="1233"/>
      <c r="N30" s="1233"/>
      <c r="O30" s="1233"/>
      <c r="P30" s="1233"/>
      <c r="Q30" s="1233"/>
      <c r="R30" s="1234"/>
      <c r="S30" s="53"/>
    </row>
    <row r="31" spans="1:21" ht="17.45" customHeight="1" x14ac:dyDescent="0.25">
      <c r="A31" s="1"/>
      <c r="B31" s="1243" t="s">
        <v>30</v>
      </c>
      <c r="C31" s="1239"/>
      <c r="D31" s="1239"/>
      <c r="E31" s="1239"/>
      <c r="F31" s="1239"/>
      <c r="G31" s="1239"/>
      <c r="H31" s="1239"/>
      <c r="I31" s="1239"/>
      <c r="J31" s="1239"/>
      <c r="K31" s="1239"/>
      <c r="L31" s="1239"/>
      <c r="M31" s="1239"/>
      <c r="N31" s="1239"/>
      <c r="O31" s="1239"/>
      <c r="P31" s="1239"/>
      <c r="Q31" s="1239"/>
      <c r="R31" s="1244"/>
      <c r="S31" s="53"/>
      <c r="T31" s="587"/>
    </row>
    <row r="32" spans="1:21" s="4" customFormat="1" ht="17.45" customHeight="1" x14ac:dyDescent="0.35">
      <c r="A32" s="1"/>
      <c r="B32" s="455" t="s">
        <v>31</v>
      </c>
      <c r="C32" s="1225" t="s">
        <v>1324</v>
      </c>
      <c r="D32" s="1225"/>
      <c r="E32" s="1225"/>
      <c r="F32" s="1225"/>
      <c r="G32" s="461">
        <f>SUM(G33:G35)</f>
        <v>0</v>
      </c>
      <c r="H32" s="461">
        <f t="shared" ref="H32:I32" si="12">SUM(H33:H35)</f>
        <v>0</v>
      </c>
      <c r="I32" s="461">
        <f t="shared" si="12"/>
        <v>0</v>
      </c>
      <c r="J32" s="450">
        <f>SUM(J33:J35)</f>
        <v>0</v>
      </c>
      <c r="K32" s="450">
        <f t="shared" ref="K32:L32" si="13">SUM(K33:K35)</f>
        <v>0</v>
      </c>
      <c r="L32" s="450">
        <f t="shared" si="13"/>
        <v>0</v>
      </c>
      <c r="M32" s="451">
        <f>SUM(M33:M35)</f>
        <v>0</v>
      </c>
      <c r="N32" s="451">
        <f t="shared" ref="N32:O32" si="14">SUM(N33:N35)</f>
        <v>0</v>
      </c>
      <c r="O32" s="451">
        <f t="shared" si="14"/>
        <v>0</v>
      </c>
      <c r="P32" s="452">
        <f>G32+J32+M32</f>
        <v>0</v>
      </c>
      <c r="Q32" s="452">
        <f t="shared" ref="Q32:R47" si="15">H32+K32+N32</f>
        <v>0</v>
      </c>
      <c r="R32" s="453">
        <f t="shared" si="15"/>
        <v>0</v>
      </c>
      <c r="S32" s="53"/>
      <c r="T32" s="588"/>
      <c r="U32" s="583"/>
    </row>
    <row r="33" spans="1:23" s="4" customFormat="1" ht="17.45" customHeight="1" x14ac:dyDescent="0.35">
      <c r="A33" s="1"/>
      <c r="B33" s="455" t="s">
        <v>1325</v>
      </c>
      <c r="C33" s="1249" t="s">
        <v>1328</v>
      </c>
      <c r="D33" s="1249"/>
      <c r="E33" s="1249"/>
      <c r="F33" s="1249"/>
      <c r="G33" s="449">
        <v>0</v>
      </c>
      <c r="H33" s="461">
        <f t="shared" ref="H33:H38" si="16">G33*$E$120</f>
        <v>0</v>
      </c>
      <c r="I33" s="461">
        <f t="shared" ref="I33:I38" si="17">G33+H33</f>
        <v>0</v>
      </c>
      <c r="J33" s="450">
        <f>'DG-cap3'!G10</f>
        <v>0</v>
      </c>
      <c r="K33" s="450">
        <f t="shared" ref="K33:K38" si="18">J33*$E$120</f>
        <v>0</v>
      </c>
      <c r="L33" s="450">
        <f t="shared" ref="L33:L38" si="19">J33+K33</f>
        <v>0</v>
      </c>
      <c r="M33" s="451">
        <v>0</v>
      </c>
      <c r="N33" s="451">
        <f t="shared" ref="N33:N38" si="20">M33*$E$120</f>
        <v>0</v>
      </c>
      <c r="O33" s="451">
        <f t="shared" ref="O33:O38" si="21">M33+N33</f>
        <v>0</v>
      </c>
      <c r="P33" s="452">
        <f t="shared" ref="P33:R54" si="22">G33+J33+M33</f>
        <v>0</v>
      </c>
      <c r="Q33" s="452">
        <f t="shared" si="15"/>
        <v>0</v>
      </c>
      <c r="R33" s="453">
        <f t="shared" si="15"/>
        <v>0</v>
      </c>
      <c r="S33" s="53"/>
      <c r="T33" s="588"/>
      <c r="U33" s="583"/>
    </row>
    <row r="34" spans="1:23" s="4" customFormat="1" ht="17.45" customHeight="1" x14ac:dyDescent="0.35">
      <c r="A34" s="1"/>
      <c r="B34" s="455" t="s">
        <v>1326</v>
      </c>
      <c r="C34" s="1249" t="s">
        <v>1329</v>
      </c>
      <c r="D34" s="1249"/>
      <c r="E34" s="1249"/>
      <c r="F34" s="1249"/>
      <c r="G34" s="449">
        <v>0</v>
      </c>
      <c r="H34" s="461">
        <f t="shared" si="16"/>
        <v>0</v>
      </c>
      <c r="I34" s="461">
        <f t="shared" si="17"/>
        <v>0</v>
      </c>
      <c r="J34" s="450">
        <f>'DG-cap3'!G11</f>
        <v>0</v>
      </c>
      <c r="K34" s="450">
        <f t="shared" si="18"/>
        <v>0</v>
      </c>
      <c r="L34" s="450">
        <f t="shared" si="19"/>
        <v>0</v>
      </c>
      <c r="M34" s="451">
        <v>0</v>
      </c>
      <c r="N34" s="451">
        <f t="shared" si="20"/>
        <v>0</v>
      </c>
      <c r="O34" s="451">
        <f t="shared" si="21"/>
        <v>0</v>
      </c>
      <c r="P34" s="452">
        <f t="shared" si="22"/>
        <v>0</v>
      </c>
      <c r="Q34" s="452">
        <f t="shared" si="15"/>
        <v>0</v>
      </c>
      <c r="R34" s="453">
        <f t="shared" si="15"/>
        <v>0</v>
      </c>
      <c r="S34" s="53"/>
      <c r="T34" s="588"/>
      <c r="U34" s="583"/>
    </row>
    <row r="35" spans="1:23" s="4" customFormat="1" ht="17.45" customHeight="1" x14ac:dyDescent="0.35">
      <c r="A35" s="1"/>
      <c r="B35" s="455" t="s">
        <v>1327</v>
      </c>
      <c r="C35" s="1249" t="s">
        <v>1330</v>
      </c>
      <c r="D35" s="1249"/>
      <c r="E35" s="1249"/>
      <c r="F35" s="1249"/>
      <c r="G35" s="449">
        <v>0</v>
      </c>
      <c r="H35" s="461">
        <f t="shared" si="16"/>
        <v>0</v>
      </c>
      <c r="I35" s="461">
        <f t="shared" si="17"/>
        <v>0</v>
      </c>
      <c r="J35" s="450">
        <f>'DG-cap3'!G12</f>
        <v>0</v>
      </c>
      <c r="K35" s="450">
        <f t="shared" si="18"/>
        <v>0</v>
      </c>
      <c r="L35" s="450">
        <f t="shared" si="19"/>
        <v>0</v>
      </c>
      <c r="M35" s="451">
        <v>0</v>
      </c>
      <c r="N35" s="451">
        <f t="shared" si="20"/>
        <v>0</v>
      </c>
      <c r="O35" s="451">
        <f t="shared" si="21"/>
        <v>0</v>
      </c>
      <c r="P35" s="452">
        <f t="shared" si="22"/>
        <v>0</v>
      </c>
      <c r="Q35" s="452">
        <f t="shared" si="15"/>
        <v>0</v>
      </c>
      <c r="R35" s="453">
        <f t="shared" si="15"/>
        <v>0</v>
      </c>
      <c r="S35" s="53"/>
      <c r="T35" s="588"/>
      <c r="U35" s="583"/>
    </row>
    <row r="36" spans="1:23" s="4" customFormat="1" ht="17.45" customHeight="1" x14ac:dyDescent="0.3">
      <c r="A36" s="1"/>
      <c r="B36" s="447" t="s">
        <v>32</v>
      </c>
      <c r="C36" s="1224" t="s">
        <v>1331</v>
      </c>
      <c r="D36" s="1225"/>
      <c r="E36" s="1225"/>
      <c r="F36" s="1225"/>
      <c r="G36" s="449">
        <v>0</v>
      </c>
      <c r="H36" s="461">
        <f t="shared" si="16"/>
        <v>0</v>
      </c>
      <c r="I36" s="461">
        <f t="shared" si="17"/>
        <v>0</v>
      </c>
      <c r="J36" s="450">
        <f>'DG-cap3'!G13</f>
        <v>3000</v>
      </c>
      <c r="K36" s="450">
        <f t="shared" si="18"/>
        <v>570</v>
      </c>
      <c r="L36" s="450">
        <f t="shared" si="19"/>
        <v>3570</v>
      </c>
      <c r="M36" s="451">
        <v>0</v>
      </c>
      <c r="N36" s="451">
        <f t="shared" si="20"/>
        <v>0</v>
      </c>
      <c r="O36" s="451">
        <f t="shared" si="21"/>
        <v>0</v>
      </c>
      <c r="P36" s="452">
        <f t="shared" si="22"/>
        <v>3000</v>
      </c>
      <c r="Q36" s="452">
        <f t="shared" si="15"/>
        <v>570</v>
      </c>
      <c r="R36" s="453">
        <f t="shared" si="15"/>
        <v>3570</v>
      </c>
      <c r="S36" s="53"/>
      <c r="T36" s="589"/>
      <c r="U36" s="590"/>
      <c r="V36" s="8"/>
      <c r="W36" s="8"/>
    </row>
    <row r="37" spans="1:23" s="4" customFormat="1" ht="17.45" customHeight="1" x14ac:dyDescent="0.3">
      <c r="A37" s="1"/>
      <c r="B37" s="447">
        <v>3.3</v>
      </c>
      <c r="C37" s="1224" t="s">
        <v>1332</v>
      </c>
      <c r="D37" s="1224"/>
      <c r="E37" s="1224"/>
      <c r="F37" s="1224"/>
      <c r="G37" s="449">
        <v>0</v>
      </c>
      <c r="H37" s="461">
        <f t="shared" si="16"/>
        <v>0</v>
      </c>
      <c r="I37" s="461">
        <f t="shared" si="17"/>
        <v>0</v>
      </c>
      <c r="J37" s="450">
        <f>'DG-cap3'!G14</f>
        <v>12000</v>
      </c>
      <c r="K37" s="450">
        <f t="shared" si="18"/>
        <v>2280</v>
      </c>
      <c r="L37" s="450">
        <f t="shared" si="19"/>
        <v>14280</v>
      </c>
      <c r="M37" s="451">
        <v>0</v>
      </c>
      <c r="N37" s="451">
        <f t="shared" si="20"/>
        <v>0</v>
      </c>
      <c r="O37" s="451">
        <f t="shared" si="21"/>
        <v>0</v>
      </c>
      <c r="P37" s="452">
        <f t="shared" si="22"/>
        <v>12000</v>
      </c>
      <c r="Q37" s="452">
        <f t="shared" si="15"/>
        <v>2280</v>
      </c>
      <c r="R37" s="453">
        <f t="shared" si="15"/>
        <v>14280</v>
      </c>
      <c r="S37" s="53"/>
      <c r="T37" s="589"/>
      <c r="U37" s="590"/>
      <c r="V37" s="8"/>
      <c r="W37" s="8"/>
    </row>
    <row r="38" spans="1:23" s="4" customFormat="1" ht="17.45" customHeight="1" x14ac:dyDescent="0.3">
      <c r="A38" s="1"/>
      <c r="B38" s="447">
        <v>3.4</v>
      </c>
      <c r="C38" s="610" t="s">
        <v>1333</v>
      </c>
      <c r="D38" s="610"/>
      <c r="E38" s="610"/>
      <c r="F38" s="610"/>
      <c r="G38" s="449">
        <v>0</v>
      </c>
      <c r="H38" s="461">
        <f t="shared" si="16"/>
        <v>0</v>
      </c>
      <c r="I38" s="461">
        <f t="shared" si="17"/>
        <v>0</v>
      </c>
      <c r="J38" s="450">
        <f>'DG-cap3'!G15</f>
        <v>5000</v>
      </c>
      <c r="K38" s="450">
        <f t="shared" si="18"/>
        <v>950</v>
      </c>
      <c r="L38" s="450">
        <f t="shared" si="19"/>
        <v>5950</v>
      </c>
      <c r="M38" s="451">
        <v>0</v>
      </c>
      <c r="N38" s="451">
        <f t="shared" si="20"/>
        <v>0</v>
      </c>
      <c r="O38" s="451">
        <f t="shared" si="21"/>
        <v>0</v>
      </c>
      <c r="P38" s="452">
        <f t="shared" si="22"/>
        <v>5000</v>
      </c>
      <c r="Q38" s="452">
        <f t="shared" si="15"/>
        <v>950</v>
      </c>
      <c r="R38" s="453">
        <f t="shared" si="15"/>
        <v>5950</v>
      </c>
      <c r="S38" s="53"/>
      <c r="T38" s="589"/>
      <c r="U38" s="590"/>
      <c r="V38" s="8"/>
      <c r="W38" s="8"/>
    </row>
    <row r="39" spans="1:23" s="4" customFormat="1" ht="17.45" customHeight="1" x14ac:dyDescent="0.35">
      <c r="A39" s="1"/>
      <c r="B39" s="447">
        <v>3.5</v>
      </c>
      <c r="C39" s="1225" t="s">
        <v>1334</v>
      </c>
      <c r="D39" s="1225"/>
      <c r="E39" s="1225"/>
      <c r="F39" s="1225"/>
      <c r="G39" s="449">
        <f>SUM(G40:G45)</f>
        <v>0</v>
      </c>
      <c r="H39" s="461">
        <f t="shared" ref="H39:I39" si="23">SUM(H40:H45)</f>
        <v>0</v>
      </c>
      <c r="I39" s="461">
        <f t="shared" si="23"/>
        <v>0</v>
      </c>
      <c r="J39" s="450">
        <f>SUM(J40:J45)</f>
        <v>213000</v>
      </c>
      <c r="K39" s="450">
        <f t="shared" ref="K39:L39" si="24">SUM(K40:K45)</f>
        <v>40470</v>
      </c>
      <c r="L39" s="450">
        <f t="shared" si="24"/>
        <v>253470</v>
      </c>
      <c r="M39" s="451">
        <f>SUM(M40:M45)</f>
        <v>0</v>
      </c>
      <c r="N39" s="451">
        <f t="shared" ref="N39:O39" si="25">SUM(N40:N45)</f>
        <v>0</v>
      </c>
      <c r="O39" s="451">
        <f t="shared" si="25"/>
        <v>0</v>
      </c>
      <c r="P39" s="452">
        <f t="shared" si="22"/>
        <v>213000</v>
      </c>
      <c r="Q39" s="452">
        <f t="shared" si="15"/>
        <v>40470</v>
      </c>
      <c r="R39" s="453">
        <f t="shared" si="15"/>
        <v>253470</v>
      </c>
      <c r="S39" s="53"/>
      <c r="T39" s="589"/>
      <c r="U39" s="583"/>
    </row>
    <row r="40" spans="1:23" s="4" customFormat="1" ht="17.45" customHeight="1" x14ac:dyDescent="0.3">
      <c r="A40" s="1"/>
      <c r="B40" s="447" t="s">
        <v>1335</v>
      </c>
      <c r="C40" s="1249" t="s">
        <v>1341</v>
      </c>
      <c r="D40" s="1249"/>
      <c r="E40" s="1249"/>
      <c r="F40" s="1249"/>
      <c r="G40" s="449">
        <v>0</v>
      </c>
      <c r="H40" s="461">
        <f t="shared" ref="H40:H46" si="26">G40*$E$120</f>
        <v>0</v>
      </c>
      <c r="I40" s="461">
        <f t="shared" ref="I40:I46" si="27">G40+H40</f>
        <v>0</v>
      </c>
      <c r="J40" s="450">
        <f>'DG-cap3'!G17</f>
        <v>0</v>
      </c>
      <c r="K40" s="450">
        <f t="shared" ref="K40:K46" si="28">J40*$E$120</f>
        <v>0</v>
      </c>
      <c r="L40" s="450">
        <f t="shared" ref="L40:L46" si="29">J40+K40</f>
        <v>0</v>
      </c>
      <c r="M40" s="451">
        <v>0</v>
      </c>
      <c r="N40" s="451">
        <f t="shared" ref="N40:N46" si="30">M40*$E$120</f>
        <v>0</v>
      </c>
      <c r="O40" s="451">
        <f t="shared" ref="O40:O46" si="31">M40+N40</f>
        <v>0</v>
      </c>
      <c r="P40" s="452">
        <f t="shared" si="22"/>
        <v>0</v>
      </c>
      <c r="Q40" s="452">
        <f t="shared" si="15"/>
        <v>0</v>
      </c>
      <c r="R40" s="453">
        <f t="shared" si="15"/>
        <v>0</v>
      </c>
      <c r="S40" s="53"/>
      <c r="T40" s="589"/>
      <c r="U40" s="583"/>
    </row>
    <row r="41" spans="1:23" s="4" customFormat="1" ht="17.45" customHeight="1" x14ac:dyDescent="0.35">
      <c r="A41" s="1"/>
      <c r="B41" s="447" t="s">
        <v>1336</v>
      </c>
      <c r="C41" s="1249" t="s">
        <v>1342</v>
      </c>
      <c r="D41" s="1249"/>
      <c r="E41" s="1249"/>
      <c r="F41" s="1249"/>
      <c r="G41" s="449">
        <v>0</v>
      </c>
      <c r="H41" s="461">
        <f t="shared" si="26"/>
        <v>0</v>
      </c>
      <c r="I41" s="461">
        <f t="shared" si="27"/>
        <v>0</v>
      </c>
      <c r="J41" s="450">
        <f>'DG-cap3'!G18</f>
        <v>0</v>
      </c>
      <c r="K41" s="450">
        <f t="shared" si="28"/>
        <v>0</v>
      </c>
      <c r="L41" s="450">
        <f t="shared" si="29"/>
        <v>0</v>
      </c>
      <c r="M41" s="451">
        <v>0</v>
      </c>
      <c r="N41" s="451">
        <f t="shared" si="30"/>
        <v>0</v>
      </c>
      <c r="O41" s="451">
        <f t="shared" si="31"/>
        <v>0</v>
      </c>
      <c r="P41" s="452">
        <f t="shared" si="22"/>
        <v>0</v>
      </c>
      <c r="Q41" s="452">
        <f t="shared" si="15"/>
        <v>0</v>
      </c>
      <c r="R41" s="453">
        <f t="shared" si="15"/>
        <v>0</v>
      </c>
      <c r="S41" s="53"/>
      <c r="T41" s="589"/>
      <c r="U41" s="583"/>
    </row>
    <row r="42" spans="1:23" s="4" customFormat="1" ht="17.45" customHeight="1" x14ac:dyDescent="0.3">
      <c r="A42" s="1"/>
      <c r="B42" s="447" t="s">
        <v>1337</v>
      </c>
      <c r="C42" s="1249" t="s">
        <v>1343</v>
      </c>
      <c r="D42" s="1249"/>
      <c r="E42" s="1249"/>
      <c r="F42" s="1249"/>
      <c r="G42" s="449">
        <v>0</v>
      </c>
      <c r="H42" s="461">
        <f t="shared" si="26"/>
        <v>0</v>
      </c>
      <c r="I42" s="461">
        <f t="shared" si="27"/>
        <v>0</v>
      </c>
      <c r="J42" s="450">
        <f>'DG-cap3'!G19</f>
        <v>30000</v>
      </c>
      <c r="K42" s="450">
        <f>J42*0.19</f>
        <v>5700</v>
      </c>
      <c r="L42" s="450">
        <f t="shared" si="29"/>
        <v>35700</v>
      </c>
      <c r="M42" s="451">
        <v>0</v>
      </c>
      <c r="N42" s="451">
        <f t="shared" si="30"/>
        <v>0</v>
      </c>
      <c r="O42" s="451">
        <f t="shared" si="31"/>
        <v>0</v>
      </c>
      <c r="P42" s="452">
        <f t="shared" si="22"/>
        <v>30000</v>
      </c>
      <c r="Q42" s="452">
        <f t="shared" si="15"/>
        <v>5700</v>
      </c>
      <c r="R42" s="453">
        <f t="shared" si="15"/>
        <v>35700</v>
      </c>
      <c r="S42" s="53"/>
      <c r="T42" s="589"/>
      <c r="U42" s="583"/>
    </row>
    <row r="43" spans="1:23" s="4" customFormat="1" ht="17.45" customHeight="1" x14ac:dyDescent="0.3">
      <c r="A43" s="1"/>
      <c r="B43" s="447" t="s">
        <v>1338</v>
      </c>
      <c r="C43" s="1249" t="s">
        <v>1344</v>
      </c>
      <c r="D43" s="1249"/>
      <c r="E43" s="1249"/>
      <c r="F43" s="1249"/>
      <c r="G43" s="449">
        <v>0</v>
      </c>
      <c r="H43" s="461">
        <f t="shared" si="26"/>
        <v>0</v>
      </c>
      <c r="I43" s="461">
        <f t="shared" si="27"/>
        <v>0</v>
      </c>
      <c r="J43" s="450">
        <f>'DG-cap3'!G20</f>
        <v>3000</v>
      </c>
      <c r="K43" s="450">
        <f t="shared" si="28"/>
        <v>570</v>
      </c>
      <c r="L43" s="450">
        <f t="shared" si="29"/>
        <v>3570</v>
      </c>
      <c r="M43" s="451">
        <v>0</v>
      </c>
      <c r="N43" s="451">
        <f t="shared" si="30"/>
        <v>0</v>
      </c>
      <c r="O43" s="451">
        <f t="shared" si="31"/>
        <v>0</v>
      </c>
      <c r="P43" s="452">
        <f t="shared" si="22"/>
        <v>3000</v>
      </c>
      <c r="Q43" s="452">
        <f t="shared" si="15"/>
        <v>570</v>
      </c>
      <c r="R43" s="453">
        <f t="shared" si="15"/>
        <v>3570</v>
      </c>
      <c r="S43" s="53"/>
      <c r="T43" s="589"/>
      <c r="U43" s="583"/>
    </row>
    <row r="44" spans="1:23" s="4" customFormat="1" ht="17.45" customHeight="1" x14ac:dyDescent="0.3">
      <c r="A44" s="1"/>
      <c r="B44" s="447" t="s">
        <v>1339</v>
      </c>
      <c r="C44" s="1249" t="s">
        <v>1345</v>
      </c>
      <c r="D44" s="1249"/>
      <c r="E44" s="1249"/>
      <c r="F44" s="1249"/>
      <c r="G44" s="449">
        <v>0</v>
      </c>
      <c r="H44" s="461">
        <f t="shared" si="26"/>
        <v>0</v>
      </c>
      <c r="I44" s="461">
        <f t="shared" si="27"/>
        <v>0</v>
      </c>
      <c r="J44" s="450">
        <f>'DG-cap3'!G21</f>
        <v>10000</v>
      </c>
      <c r="K44" s="450">
        <f t="shared" si="28"/>
        <v>1900</v>
      </c>
      <c r="L44" s="450">
        <f t="shared" si="29"/>
        <v>11900</v>
      </c>
      <c r="M44" s="451">
        <v>0</v>
      </c>
      <c r="N44" s="451">
        <f t="shared" si="30"/>
        <v>0</v>
      </c>
      <c r="O44" s="451">
        <f t="shared" si="31"/>
        <v>0</v>
      </c>
      <c r="P44" s="452">
        <f t="shared" si="22"/>
        <v>10000</v>
      </c>
      <c r="Q44" s="452">
        <f t="shared" si="15"/>
        <v>1900</v>
      </c>
      <c r="R44" s="453">
        <f t="shared" si="15"/>
        <v>11900</v>
      </c>
      <c r="S44" s="53"/>
      <c r="T44" s="589"/>
      <c r="U44" s="583"/>
    </row>
    <row r="45" spans="1:23" s="4" customFormat="1" ht="17.45" customHeight="1" x14ac:dyDescent="0.3">
      <c r="A45" s="1"/>
      <c r="B45" s="447" t="s">
        <v>1340</v>
      </c>
      <c r="C45" s="1249" t="s">
        <v>1346</v>
      </c>
      <c r="D45" s="1249"/>
      <c r="E45" s="1249"/>
      <c r="F45" s="1249"/>
      <c r="G45" s="449">
        <v>0</v>
      </c>
      <c r="H45" s="461">
        <f t="shared" si="26"/>
        <v>0</v>
      </c>
      <c r="I45" s="461">
        <f t="shared" si="27"/>
        <v>0</v>
      </c>
      <c r="J45" s="450">
        <f>'DG-cap3'!G22</f>
        <v>170000</v>
      </c>
      <c r="K45" s="450">
        <f t="shared" si="28"/>
        <v>32300</v>
      </c>
      <c r="L45" s="450">
        <f t="shared" si="29"/>
        <v>202300</v>
      </c>
      <c r="M45" s="451">
        <v>0</v>
      </c>
      <c r="N45" s="451">
        <f t="shared" si="30"/>
        <v>0</v>
      </c>
      <c r="O45" s="451">
        <f t="shared" si="31"/>
        <v>0</v>
      </c>
      <c r="P45" s="452">
        <f t="shared" si="22"/>
        <v>170000</v>
      </c>
      <c r="Q45" s="452">
        <f t="shared" si="15"/>
        <v>32300</v>
      </c>
      <c r="R45" s="453">
        <f t="shared" si="15"/>
        <v>202300</v>
      </c>
      <c r="S45" s="53"/>
      <c r="T45" s="589"/>
      <c r="U45" s="583"/>
    </row>
    <row r="46" spans="1:23" s="4" customFormat="1" ht="17.45" customHeight="1" x14ac:dyDescent="0.3">
      <c r="A46" s="1"/>
      <c r="B46" s="447">
        <v>3.6</v>
      </c>
      <c r="C46" s="1224" t="s">
        <v>540</v>
      </c>
      <c r="D46" s="1225"/>
      <c r="E46" s="1225"/>
      <c r="F46" s="1225"/>
      <c r="G46" s="449">
        <v>0</v>
      </c>
      <c r="H46" s="461">
        <f t="shared" si="26"/>
        <v>0</v>
      </c>
      <c r="I46" s="461">
        <f t="shared" si="27"/>
        <v>0</v>
      </c>
      <c r="J46" s="450">
        <f>'DG-cap3'!G23</f>
        <v>0</v>
      </c>
      <c r="K46" s="450">
        <f t="shared" si="28"/>
        <v>0</v>
      </c>
      <c r="L46" s="450">
        <f t="shared" si="29"/>
        <v>0</v>
      </c>
      <c r="M46" s="451">
        <v>0</v>
      </c>
      <c r="N46" s="451">
        <f t="shared" si="30"/>
        <v>0</v>
      </c>
      <c r="O46" s="451">
        <f t="shared" si="31"/>
        <v>0</v>
      </c>
      <c r="P46" s="452">
        <f t="shared" si="22"/>
        <v>0</v>
      </c>
      <c r="Q46" s="452">
        <f t="shared" si="15"/>
        <v>0</v>
      </c>
      <c r="R46" s="453">
        <f t="shared" si="15"/>
        <v>0</v>
      </c>
      <c r="S46" s="53"/>
      <c r="T46" s="589"/>
      <c r="U46" s="583"/>
    </row>
    <row r="47" spans="1:23" s="4" customFormat="1" ht="17.45" customHeight="1" x14ac:dyDescent="0.25">
      <c r="A47" s="1"/>
      <c r="B47" s="447">
        <v>3.7</v>
      </c>
      <c r="C47" s="1225" t="s">
        <v>1351</v>
      </c>
      <c r="D47" s="1225"/>
      <c r="E47" s="1225"/>
      <c r="F47" s="1225"/>
      <c r="G47" s="449">
        <f t="shared" ref="G47:O47" si="32">SUM(G48:G49)</f>
        <v>0</v>
      </c>
      <c r="H47" s="449">
        <f t="shared" si="32"/>
        <v>0</v>
      </c>
      <c r="I47" s="461">
        <f t="shared" si="32"/>
        <v>0</v>
      </c>
      <c r="J47" s="450">
        <f t="shared" si="32"/>
        <v>0</v>
      </c>
      <c r="K47" s="450">
        <f t="shared" si="32"/>
        <v>0</v>
      </c>
      <c r="L47" s="450">
        <f t="shared" si="32"/>
        <v>0</v>
      </c>
      <c r="M47" s="451">
        <f t="shared" si="32"/>
        <v>0</v>
      </c>
      <c r="N47" s="451">
        <f t="shared" si="32"/>
        <v>0</v>
      </c>
      <c r="O47" s="451">
        <f t="shared" si="32"/>
        <v>0</v>
      </c>
      <c r="P47" s="452">
        <f t="shared" si="22"/>
        <v>0</v>
      </c>
      <c r="Q47" s="452">
        <f t="shared" si="15"/>
        <v>0</v>
      </c>
      <c r="R47" s="453">
        <f t="shared" si="15"/>
        <v>0</v>
      </c>
      <c r="S47" s="53"/>
      <c r="T47" s="585"/>
      <c r="U47" s="583"/>
    </row>
    <row r="48" spans="1:23" s="4" customFormat="1" ht="17.45" customHeight="1" x14ac:dyDescent="0.35">
      <c r="A48" s="1"/>
      <c r="B48" s="447" t="s">
        <v>1349</v>
      </c>
      <c r="C48" s="1249" t="s">
        <v>1347</v>
      </c>
      <c r="D48" s="1249"/>
      <c r="E48" s="1249"/>
      <c r="F48" s="1249"/>
      <c r="G48" s="449">
        <v>0</v>
      </c>
      <c r="H48" s="461">
        <f>G48*$E$120</f>
        <v>0</v>
      </c>
      <c r="I48" s="461">
        <f>G48+H48</f>
        <v>0</v>
      </c>
      <c r="J48" s="450">
        <f>'DG-cap3'!G25</f>
        <v>0</v>
      </c>
      <c r="K48" s="450">
        <f>J48*$E$120</f>
        <v>0</v>
      </c>
      <c r="L48" s="450">
        <f>J48+K48</f>
        <v>0</v>
      </c>
      <c r="M48" s="451">
        <v>0</v>
      </c>
      <c r="N48" s="451">
        <f>M48*$E$120</f>
        <v>0</v>
      </c>
      <c r="O48" s="451">
        <f>M48+N48</f>
        <v>0</v>
      </c>
      <c r="P48" s="452">
        <f t="shared" si="22"/>
        <v>0</v>
      </c>
      <c r="Q48" s="452">
        <f t="shared" si="22"/>
        <v>0</v>
      </c>
      <c r="R48" s="453">
        <f t="shared" si="22"/>
        <v>0</v>
      </c>
      <c r="S48" s="53"/>
      <c r="T48" s="589"/>
      <c r="U48" s="583"/>
    </row>
    <row r="49" spans="1:22" s="4" customFormat="1" ht="17.45" customHeight="1" x14ac:dyDescent="0.35">
      <c r="A49" s="1"/>
      <c r="B49" s="447" t="s">
        <v>1350</v>
      </c>
      <c r="C49" s="1249" t="s">
        <v>1348</v>
      </c>
      <c r="D49" s="1249"/>
      <c r="E49" s="1249"/>
      <c r="F49" s="1249"/>
      <c r="G49" s="449">
        <v>0</v>
      </c>
      <c r="H49" s="461">
        <f>G49*$E$120</f>
        <v>0</v>
      </c>
      <c r="I49" s="461">
        <f>G49+H49</f>
        <v>0</v>
      </c>
      <c r="J49" s="450">
        <f>'DG-cap3'!G26</f>
        <v>0</v>
      </c>
      <c r="K49" s="450">
        <f>J49*$E$120</f>
        <v>0</v>
      </c>
      <c r="L49" s="450">
        <f>J49+K49</f>
        <v>0</v>
      </c>
      <c r="M49" s="451">
        <v>0</v>
      </c>
      <c r="N49" s="451">
        <f>M49*$E$120</f>
        <v>0</v>
      </c>
      <c r="O49" s="451">
        <f>M49+N49</f>
        <v>0</v>
      </c>
      <c r="P49" s="452">
        <f t="shared" si="22"/>
        <v>0</v>
      </c>
      <c r="Q49" s="452">
        <f t="shared" si="22"/>
        <v>0</v>
      </c>
      <c r="R49" s="453">
        <f t="shared" si="22"/>
        <v>0</v>
      </c>
      <c r="S49" s="53"/>
      <c r="T49" s="589"/>
      <c r="U49" s="583"/>
    </row>
    <row r="50" spans="1:22" s="4" customFormat="1" ht="17.45" customHeight="1" x14ac:dyDescent="0.25">
      <c r="A50" s="1"/>
      <c r="B50" s="447">
        <v>3.8</v>
      </c>
      <c r="C50" s="1225" t="s">
        <v>1352</v>
      </c>
      <c r="D50" s="1225"/>
      <c r="E50" s="1225"/>
      <c r="F50" s="1225"/>
      <c r="G50" s="449">
        <f>G51+G54</f>
        <v>0</v>
      </c>
      <c r="H50" s="461">
        <f t="shared" ref="H50:I50" si="33">H51+H54</f>
        <v>0</v>
      </c>
      <c r="I50" s="461">
        <f t="shared" si="33"/>
        <v>0</v>
      </c>
      <c r="J50" s="450">
        <f>J51+J54</f>
        <v>42630.47</v>
      </c>
      <c r="K50" s="450">
        <f t="shared" ref="K50:L50" si="34">K51+K54</f>
        <v>8099.7893000000004</v>
      </c>
      <c r="L50" s="450">
        <f t="shared" si="34"/>
        <v>50730.259300000005</v>
      </c>
      <c r="M50" s="451">
        <f>M51+M54</f>
        <v>0</v>
      </c>
      <c r="N50" s="451">
        <f t="shared" ref="N50:O50" si="35">N51+N54</f>
        <v>0</v>
      </c>
      <c r="O50" s="451">
        <f t="shared" si="35"/>
        <v>0</v>
      </c>
      <c r="P50" s="452">
        <f t="shared" si="22"/>
        <v>42630.47</v>
      </c>
      <c r="Q50" s="452">
        <f t="shared" si="22"/>
        <v>8099.7893000000004</v>
      </c>
      <c r="R50" s="453">
        <f t="shared" si="22"/>
        <v>50730.259300000005</v>
      </c>
      <c r="S50" s="53"/>
      <c r="T50" s="585"/>
      <c r="U50" s="583"/>
    </row>
    <row r="51" spans="1:22" s="4" customFormat="1" ht="17.45" customHeight="1" x14ac:dyDescent="0.25">
      <c r="A51" s="1"/>
      <c r="B51" s="447" t="s">
        <v>1353</v>
      </c>
      <c r="C51" s="1245" t="s">
        <v>1355</v>
      </c>
      <c r="D51" s="1245"/>
      <c r="E51" s="1245"/>
      <c r="F51" s="1245"/>
      <c r="G51" s="449">
        <f>SUM(G52:G53)</f>
        <v>0</v>
      </c>
      <c r="H51" s="461">
        <f t="shared" ref="H51:I51" si="36">SUM(H52:H53)</f>
        <v>0</v>
      </c>
      <c r="I51" s="461">
        <f t="shared" si="36"/>
        <v>0</v>
      </c>
      <c r="J51" s="450">
        <f>SUM(J52:J53)</f>
        <v>14210.150000000001</v>
      </c>
      <c r="K51" s="450">
        <f t="shared" ref="K51:L51" si="37">SUM(K52:K53)</f>
        <v>2699.9285</v>
      </c>
      <c r="L51" s="450">
        <f t="shared" si="37"/>
        <v>16910.0785</v>
      </c>
      <c r="M51" s="451">
        <f>SUM(M52:M53)</f>
        <v>0</v>
      </c>
      <c r="N51" s="451">
        <f t="shared" ref="N51:O51" si="38">SUM(N52:N53)</f>
        <v>0</v>
      </c>
      <c r="O51" s="451">
        <f t="shared" si="38"/>
        <v>0</v>
      </c>
      <c r="P51" s="452">
        <f t="shared" si="22"/>
        <v>14210.150000000001</v>
      </c>
      <c r="Q51" s="452">
        <f t="shared" si="22"/>
        <v>2699.9285</v>
      </c>
      <c r="R51" s="453">
        <f t="shared" si="22"/>
        <v>16910.0785</v>
      </c>
      <c r="S51" s="53"/>
      <c r="T51" s="585"/>
      <c r="U51" s="583"/>
    </row>
    <row r="52" spans="1:22" s="4" customFormat="1" ht="17.45" customHeight="1" x14ac:dyDescent="0.25">
      <c r="A52" s="1"/>
      <c r="B52" s="447" t="s">
        <v>1354</v>
      </c>
      <c r="C52" s="1246" t="s">
        <v>1356</v>
      </c>
      <c r="D52" s="1245"/>
      <c r="E52" s="1245"/>
      <c r="F52" s="1245"/>
      <c r="G52" s="449">
        <v>0</v>
      </c>
      <c r="H52" s="461">
        <f>G52*$E$120</f>
        <v>0</v>
      </c>
      <c r="I52" s="461">
        <f>G52+H52</f>
        <v>0</v>
      </c>
      <c r="J52" s="450">
        <f>'DG-cap3'!G29</f>
        <v>8526.09</v>
      </c>
      <c r="K52" s="450">
        <f>J52*$E$120</f>
        <v>1619.9571000000001</v>
      </c>
      <c r="L52" s="450">
        <f>J52+K52</f>
        <v>10146.0471</v>
      </c>
      <c r="M52" s="451">
        <v>0</v>
      </c>
      <c r="N52" s="451">
        <f>M52*$E$120</f>
        <v>0</v>
      </c>
      <c r="O52" s="451">
        <f>M52+N52</f>
        <v>0</v>
      </c>
      <c r="P52" s="452">
        <f t="shared" si="22"/>
        <v>8526.09</v>
      </c>
      <c r="Q52" s="452">
        <f t="shared" si="22"/>
        <v>1619.9571000000001</v>
      </c>
      <c r="R52" s="453">
        <f t="shared" si="22"/>
        <v>10146.0471</v>
      </c>
      <c r="S52" s="53"/>
      <c r="T52" s="585"/>
      <c r="U52" s="583"/>
    </row>
    <row r="53" spans="1:22" s="4" customFormat="1" ht="18.75" x14ac:dyDescent="0.25">
      <c r="A53" s="1"/>
      <c r="B53" s="447" t="s">
        <v>1357</v>
      </c>
      <c r="C53" s="1247" t="s">
        <v>1358</v>
      </c>
      <c r="D53" s="1248"/>
      <c r="E53" s="1248"/>
      <c r="F53" s="1248"/>
      <c r="G53" s="449">
        <v>0</v>
      </c>
      <c r="H53" s="461">
        <f>G53*$E$120</f>
        <v>0</v>
      </c>
      <c r="I53" s="461">
        <f>G53+H53</f>
        <v>0</v>
      </c>
      <c r="J53" s="450">
        <f>'DG-cap3'!G30</f>
        <v>5684.06</v>
      </c>
      <c r="K53" s="450">
        <f>J53*$E$120</f>
        <v>1079.9714000000001</v>
      </c>
      <c r="L53" s="450">
        <f>J53+K53</f>
        <v>6764.0314000000008</v>
      </c>
      <c r="M53" s="451">
        <v>0</v>
      </c>
      <c r="N53" s="451">
        <f>M53*$E$120</f>
        <v>0</v>
      </c>
      <c r="O53" s="451">
        <f>M53+N53</f>
        <v>0</v>
      </c>
      <c r="P53" s="452">
        <f t="shared" si="22"/>
        <v>5684.06</v>
      </c>
      <c r="Q53" s="452">
        <f t="shared" si="22"/>
        <v>1079.9714000000001</v>
      </c>
      <c r="R53" s="453">
        <f t="shared" si="22"/>
        <v>6764.0314000000008</v>
      </c>
      <c r="S53" s="53"/>
      <c r="T53" s="585"/>
      <c r="U53" s="583"/>
    </row>
    <row r="54" spans="1:22" s="4" customFormat="1" ht="17.45" customHeight="1" x14ac:dyDescent="0.25">
      <c r="A54" s="1"/>
      <c r="B54" s="447" t="s">
        <v>1359</v>
      </c>
      <c r="C54" s="1245" t="s">
        <v>1360</v>
      </c>
      <c r="D54" s="1245"/>
      <c r="E54" s="1245"/>
      <c r="F54" s="1245"/>
      <c r="G54" s="449">
        <v>0</v>
      </c>
      <c r="H54" s="461">
        <f>G54*$E$120</f>
        <v>0</v>
      </c>
      <c r="I54" s="461">
        <f>G54+H54</f>
        <v>0</v>
      </c>
      <c r="J54" s="450">
        <f>'DG-cap3'!G31</f>
        <v>28420.32</v>
      </c>
      <c r="K54" s="450">
        <f>J54*$E$120</f>
        <v>5399.8608000000004</v>
      </c>
      <c r="L54" s="450">
        <f>J54+K54</f>
        <v>33820.180800000002</v>
      </c>
      <c r="M54" s="451">
        <v>0</v>
      </c>
      <c r="N54" s="451">
        <f>M54*$E$120</f>
        <v>0</v>
      </c>
      <c r="O54" s="451">
        <f>M54+N54</f>
        <v>0</v>
      </c>
      <c r="P54" s="452">
        <f t="shared" si="22"/>
        <v>28420.32</v>
      </c>
      <c r="Q54" s="452">
        <f t="shared" si="22"/>
        <v>5399.8608000000004</v>
      </c>
      <c r="R54" s="453">
        <f t="shared" si="22"/>
        <v>33820.180800000002</v>
      </c>
      <c r="S54" s="53"/>
      <c r="T54" s="585"/>
      <c r="U54" s="583"/>
    </row>
    <row r="55" spans="1:22" ht="17.45" customHeight="1" thickBot="1" x14ac:dyDescent="0.35">
      <c r="A55" s="1"/>
      <c r="B55" s="1204" t="s">
        <v>33</v>
      </c>
      <c r="C55" s="1205"/>
      <c r="D55" s="1205"/>
      <c r="E55" s="1205"/>
      <c r="F55" s="1205"/>
      <c r="G55" s="509">
        <f t="shared" ref="G55:O55" si="39">G32+G36+G37+G38+G39+G46+G47+G50</f>
        <v>0</v>
      </c>
      <c r="H55" s="509">
        <f t="shared" si="39"/>
        <v>0</v>
      </c>
      <c r="I55" s="509">
        <f t="shared" si="39"/>
        <v>0</v>
      </c>
      <c r="J55" s="509">
        <f t="shared" si="39"/>
        <v>275630.46999999997</v>
      </c>
      <c r="K55" s="509">
        <f t="shared" si="39"/>
        <v>52369.789300000004</v>
      </c>
      <c r="L55" s="509">
        <f t="shared" si="39"/>
        <v>328000.25930000003</v>
      </c>
      <c r="M55" s="509">
        <f t="shared" si="39"/>
        <v>0</v>
      </c>
      <c r="N55" s="509">
        <f t="shared" si="39"/>
        <v>0</v>
      </c>
      <c r="O55" s="509">
        <f t="shared" si="39"/>
        <v>0</v>
      </c>
      <c r="P55" s="509">
        <f>P32+P36+P37+P38+P39+P46+P47+P50</f>
        <v>275630.46999999997</v>
      </c>
      <c r="Q55" s="509">
        <f t="shared" ref="Q55:R55" si="40">Q32+Q36+Q37+Q38+Q39+Q46+Q47+Q50</f>
        <v>52369.789300000004</v>
      </c>
      <c r="R55" s="510">
        <f t="shared" si="40"/>
        <v>328000.25930000003</v>
      </c>
      <c r="S55" s="53"/>
      <c r="T55" s="582">
        <f>R55/P55</f>
        <v>1.1900000000000002</v>
      </c>
    </row>
    <row r="56" spans="1:22" ht="17.45" customHeight="1" x14ac:dyDescent="0.35">
      <c r="A56" s="1"/>
      <c r="B56" s="1240" t="s">
        <v>1320</v>
      </c>
      <c r="C56" s="1241"/>
      <c r="D56" s="1241"/>
      <c r="E56" s="1241"/>
      <c r="F56" s="1241"/>
      <c r="G56" s="1241"/>
      <c r="H56" s="1241"/>
      <c r="I56" s="1241"/>
      <c r="J56" s="1241"/>
      <c r="K56" s="1241"/>
      <c r="L56" s="1241"/>
      <c r="M56" s="1241"/>
      <c r="N56" s="1241"/>
      <c r="O56" s="1241"/>
      <c r="P56" s="1241"/>
      <c r="Q56" s="1241"/>
      <c r="R56" s="1242"/>
      <c r="S56" s="53"/>
      <c r="T56" s="589"/>
    </row>
    <row r="57" spans="1:22" ht="17.45" customHeight="1" x14ac:dyDescent="0.25">
      <c r="A57" s="1"/>
      <c r="B57" s="1243" t="s">
        <v>34</v>
      </c>
      <c r="C57" s="1239"/>
      <c r="D57" s="1239"/>
      <c r="E57" s="1239"/>
      <c r="F57" s="1239"/>
      <c r="G57" s="1239"/>
      <c r="H57" s="1239"/>
      <c r="I57" s="1239"/>
      <c r="J57" s="1239"/>
      <c r="K57" s="1239"/>
      <c r="L57" s="1239"/>
      <c r="M57" s="1239"/>
      <c r="N57" s="1239"/>
      <c r="O57" s="1239"/>
      <c r="P57" s="1239"/>
      <c r="Q57" s="1239"/>
      <c r="R57" s="1244"/>
      <c r="S57" s="53"/>
      <c r="T57" s="591"/>
    </row>
    <row r="58" spans="1:22" s="10" customFormat="1" ht="17.45" customHeight="1" x14ac:dyDescent="0.3">
      <c r="A58" s="1"/>
      <c r="B58" s="455" t="s">
        <v>35</v>
      </c>
      <c r="C58" s="1239" t="s">
        <v>36</v>
      </c>
      <c r="D58" s="1239"/>
      <c r="E58" s="1239"/>
      <c r="F58" s="1239"/>
      <c r="G58" s="511">
        <f t="shared" ref="G58:R58" si="41">SUM(G59:G65)</f>
        <v>0</v>
      </c>
      <c r="H58" s="511">
        <f t="shared" si="41"/>
        <v>0</v>
      </c>
      <c r="I58" s="511">
        <f t="shared" si="41"/>
        <v>0</v>
      </c>
      <c r="J58" s="462" t="e">
        <f t="shared" si="41"/>
        <v>#REF!</v>
      </c>
      <c r="K58" s="462" t="e">
        <f t="shared" si="41"/>
        <v>#REF!</v>
      </c>
      <c r="L58" s="462" t="e">
        <f t="shared" si="41"/>
        <v>#REF!</v>
      </c>
      <c r="M58" s="512">
        <f t="shared" si="41"/>
        <v>0</v>
      </c>
      <c r="N58" s="512">
        <f t="shared" si="41"/>
        <v>0</v>
      </c>
      <c r="O58" s="512">
        <f t="shared" si="41"/>
        <v>0</v>
      </c>
      <c r="P58" s="513" t="e">
        <f t="shared" si="41"/>
        <v>#REF!</v>
      </c>
      <c r="Q58" s="513" t="e">
        <f t="shared" si="41"/>
        <v>#REF!</v>
      </c>
      <c r="R58" s="514" t="e">
        <f t="shared" si="41"/>
        <v>#REF!</v>
      </c>
      <c r="S58" s="57"/>
      <c r="T58" s="592"/>
      <c r="U58" s="593"/>
    </row>
    <row r="59" spans="1:22" s="5" customFormat="1" ht="17.45" customHeight="1" x14ac:dyDescent="0.3">
      <c r="A59" s="1"/>
      <c r="B59" s="454" t="s">
        <v>37</v>
      </c>
      <c r="C59" s="1224" t="s">
        <v>1438</v>
      </c>
      <c r="D59" s="1225"/>
      <c r="E59" s="1225"/>
      <c r="F59" s="1225"/>
      <c r="G59" s="449">
        <v>0</v>
      </c>
      <c r="H59" s="461">
        <f t="shared" ref="H59:H65" si="42">G59*$E$120</f>
        <v>0</v>
      </c>
      <c r="I59" s="461">
        <f t="shared" ref="I59:I65" si="43">G59+H59</f>
        <v>0</v>
      </c>
      <c r="J59" s="450" t="e">
        <f>#REF!</f>
        <v>#REF!</v>
      </c>
      <c r="K59" s="450" t="e">
        <f t="shared" ref="K59:K65" si="44">J59*$E$120</f>
        <v>#REF!</v>
      </c>
      <c r="L59" s="450" t="e">
        <f t="shared" ref="L59:L65" si="45">J59+K59</f>
        <v>#REF!</v>
      </c>
      <c r="M59" s="451">
        <v>0</v>
      </c>
      <c r="N59" s="451">
        <f t="shared" ref="N59:N65" si="46">M59*$E$120</f>
        <v>0</v>
      </c>
      <c r="O59" s="451">
        <f t="shared" ref="O59:O65" si="47">M59+N59</f>
        <v>0</v>
      </c>
      <c r="P59" s="452" t="e">
        <f t="shared" ref="P59:R65" si="48">G59+M59+J59</f>
        <v>#REF!</v>
      </c>
      <c r="Q59" s="452" t="e">
        <f t="shared" si="48"/>
        <v>#REF!</v>
      </c>
      <c r="R59" s="453" t="e">
        <f t="shared" si="48"/>
        <v>#REF!</v>
      </c>
      <c r="S59" s="55"/>
      <c r="T59" s="591"/>
      <c r="U59" s="594"/>
      <c r="V59" s="9"/>
    </row>
    <row r="60" spans="1:22" ht="17.45" customHeight="1" x14ac:dyDescent="0.35">
      <c r="A60" s="1"/>
      <c r="B60" s="454" t="s">
        <v>38</v>
      </c>
      <c r="C60" s="1224" t="s">
        <v>1443</v>
      </c>
      <c r="D60" s="1224"/>
      <c r="E60" s="1224"/>
      <c r="F60" s="1224"/>
      <c r="G60" s="449">
        <v>0</v>
      </c>
      <c r="H60" s="461">
        <f t="shared" si="42"/>
        <v>0</v>
      </c>
      <c r="I60" s="461">
        <f t="shared" si="43"/>
        <v>0</v>
      </c>
      <c r="J60" s="450" t="e">
        <f>'07-DO'!D23</f>
        <v>#REF!</v>
      </c>
      <c r="K60" s="450" t="e">
        <f t="shared" si="44"/>
        <v>#REF!</v>
      </c>
      <c r="L60" s="450" t="e">
        <f t="shared" si="45"/>
        <v>#REF!</v>
      </c>
      <c r="M60" s="451">
        <v>0</v>
      </c>
      <c r="N60" s="451">
        <f t="shared" si="46"/>
        <v>0</v>
      </c>
      <c r="O60" s="451">
        <f t="shared" si="47"/>
        <v>0</v>
      </c>
      <c r="P60" s="452" t="e">
        <f t="shared" si="48"/>
        <v>#REF!</v>
      </c>
      <c r="Q60" s="452" t="e">
        <f t="shared" si="48"/>
        <v>#REF!</v>
      </c>
      <c r="R60" s="453" t="e">
        <f t="shared" si="48"/>
        <v>#REF!</v>
      </c>
      <c r="S60" s="53"/>
      <c r="T60" s="589"/>
    </row>
    <row r="61" spans="1:22" ht="17.45" customHeight="1" x14ac:dyDescent="0.35">
      <c r="A61" s="1"/>
      <c r="B61" s="454" t="s">
        <v>1277</v>
      </c>
      <c r="C61" s="1224" t="s">
        <v>1444</v>
      </c>
      <c r="D61" s="1224"/>
      <c r="E61" s="1224"/>
      <c r="F61" s="1224"/>
      <c r="G61" s="449">
        <v>0</v>
      </c>
      <c r="H61" s="461">
        <f t="shared" si="42"/>
        <v>0</v>
      </c>
      <c r="I61" s="461">
        <f t="shared" si="43"/>
        <v>0</v>
      </c>
      <c r="J61" s="450" t="e">
        <f>'08-DO'!D23</f>
        <v>#REF!</v>
      </c>
      <c r="K61" s="450" t="e">
        <f t="shared" si="44"/>
        <v>#REF!</v>
      </c>
      <c r="L61" s="450" t="e">
        <f t="shared" si="45"/>
        <v>#REF!</v>
      </c>
      <c r="M61" s="451">
        <v>0</v>
      </c>
      <c r="N61" s="451">
        <f t="shared" si="46"/>
        <v>0</v>
      </c>
      <c r="O61" s="451">
        <f t="shared" si="47"/>
        <v>0</v>
      </c>
      <c r="P61" s="452" t="e">
        <f t="shared" si="48"/>
        <v>#REF!</v>
      </c>
      <c r="Q61" s="452" t="e">
        <f t="shared" si="48"/>
        <v>#REF!</v>
      </c>
      <c r="R61" s="453" t="e">
        <f t="shared" si="48"/>
        <v>#REF!</v>
      </c>
      <c r="S61" s="53"/>
      <c r="T61" s="589"/>
    </row>
    <row r="62" spans="1:22" s="16" customFormat="1" ht="17.45" customHeight="1" x14ac:dyDescent="0.3">
      <c r="A62" s="15"/>
      <c r="B62" s="454" t="s">
        <v>1278</v>
      </c>
      <c r="C62" s="1224" t="s">
        <v>1503</v>
      </c>
      <c r="D62" s="1224"/>
      <c r="E62" s="1224"/>
      <c r="F62" s="1224"/>
      <c r="G62" s="449">
        <v>0</v>
      </c>
      <c r="H62" s="461">
        <f t="shared" si="42"/>
        <v>0</v>
      </c>
      <c r="I62" s="461">
        <f t="shared" si="43"/>
        <v>0</v>
      </c>
      <c r="J62" s="450" t="e">
        <f>'09-DO'!D23</f>
        <v>#REF!</v>
      </c>
      <c r="K62" s="450" t="e">
        <f t="shared" si="44"/>
        <v>#REF!</v>
      </c>
      <c r="L62" s="450" t="e">
        <f t="shared" si="45"/>
        <v>#REF!</v>
      </c>
      <c r="M62" s="451">
        <v>0</v>
      </c>
      <c r="N62" s="451">
        <f t="shared" si="46"/>
        <v>0</v>
      </c>
      <c r="O62" s="451">
        <f t="shared" si="47"/>
        <v>0</v>
      </c>
      <c r="P62" s="452" t="e">
        <f t="shared" si="48"/>
        <v>#REF!</v>
      </c>
      <c r="Q62" s="452" t="e">
        <f t="shared" si="48"/>
        <v>#REF!</v>
      </c>
      <c r="R62" s="453" t="e">
        <f t="shared" si="48"/>
        <v>#REF!</v>
      </c>
      <c r="S62" s="58"/>
      <c r="T62" s="595"/>
      <c r="U62" s="596"/>
    </row>
    <row r="63" spans="1:22" s="16" customFormat="1" ht="17.45" customHeight="1" x14ac:dyDescent="0.3">
      <c r="A63" s="15"/>
      <c r="B63" s="454" t="s">
        <v>1304</v>
      </c>
      <c r="C63" s="1224" t="s">
        <v>1509</v>
      </c>
      <c r="D63" s="1224"/>
      <c r="E63" s="1224"/>
      <c r="F63" s="1224"/>
      <c r="G63" s="449">
        <v>0</v>
      </c>
      <c r="H63" s="461">
        <f t="shared" si="42"/>
        <v>0</v>
      </c>
      <c r="I63" s="461">
        <f t="shared" si="43"/>
        <v>0</v>
      </c>
      <c r="J63" s="450" t="e">
        <f>'10-DO'!D23</f>
        <v>#REF!</v>
      </c>
      <c r="K63" s="450" t="e">
        <f t="shared" si="44"/>
        <v>#REF!</v>
      </c>
      <c r="L63" s="450" t="e">
        <f t="shared" si="45"/>
        <v>#REF!</v>
      </c>
      <c r="M63" s="451">
        <v>0</v>
      </c>
      <c r="N63" s="451">
        <f t="shared" si="46"/>
        <v>0</v>
      </c>
      <c r="O63" s="451">
        <f t="shared" si="47"/>
        <v>0</v>
      </c>
      <c r="P63" s="452" t="e">
        <f t="shared" si="48"/>
        <v>#REF!</v>
      </c>
      <c r="Q63" s="452" t="e">
        <f t="shared" si="48"/>
        <v>#REF!</v>
      </c>
      <c r="R63" s="453" t="e">
        <f t="shared" si="48"/>
        <v>#REF!</v>
      </c>
      <c r="S63" s="58"/>
      <c r="T63" s="595"/>
      <c r="U63" s="596"/>
    </row>
    <row r="64" spans="1:22" s="5" customFormat="1" ht="17.45" hidden="1" customHeight="1" x14ac:dyDescent="0.3">
      <c r="A64" s="1"/>
      <c r="B64" s="454" t="s">
        <v>1305</v>
      </c>
      <c r="C64" s="1224"/>
      <c r="D64" s="1224"/>
      <c r="E64" s="1224"/>
      <c r="F64" s="1224"/>
      <c r="G64" s="449">
        <v>0</v>
      </c>
      <c r="H64" s="461">
        <f t="shared" si="42"/>
        <v>0</v>
      </c>
      <c r="I64" s="461">
        <f t="shared" si="43"/>
        <v>0</v>
      </c>
      <c r="J64" s="450"/>
      <c r="K64" s="450">
        <f t="shared" si="44"/>
        <v>0</v>
      </c>
      <c r="L64" s="450">
        <f t="shared" si="45"/>
        <v>0</v>
      </c>
      <c r="M64" s="451">
        <v>0</v>
      </c>
      <c r="N64" s="451">
        <f t="shared" si="46"/>
        <v>0</v>
      </c>
      <c r="O64" s="451">
        <f t="shared" si="47"/>
        <v>0</v>
      </c>
      <c r="P64" s="452">
        <f t="shared" si="48"/>
        <v>0</v>
      </c>
      <c r="Q64" s="452">
        <f t="shared" si="48"/>
        <v>0</v>
      </c>
      <c r="R64" s="453">
        <f t="shared" si="48"/>
        <v>0</v>
      </c>
      <c r="S64" s="55"/>
      <c r="T64" s="591"/>
      <c r="U64" s="594"/>
    </row>
    <row r="65" spans="1:21" s="5" customFormat="1" ht="17.45" hidden="1" customHeight="1" x14ac:dyDescent="0.3">
      <c r="A65" s="1"/>
      <c r="B65" s="454" t="s">
        <v>1306</v>
      </c>
      <c r="C65" s="1224"/>
      <c r="D65" s="1224"/>
      <c r="E65" s="1224"/>
      <c r="F65" s="1224"/>
      <c r="G65" s="449">
        <v>0</v>
      </c>
      <c r="H65" s="461">
        <f t="shared" si="42"/>
        <v>0</v>
      </c>
      <c r="I65" s="461">
        <f t="shared" si="43"/>
        <v>0</v>
      </c>
      <c r="J65" s="450"/>
      <c r="K65" s="450">
        <f t="shared" si="44"/>
        <v>0</v>
      </c>
      <c r="L65" s="450">
        <f t="shared" si="45"/>
        <v>0</v>
      </c>
      <c r="M65" s="451">
        <v>0</v>
      </c>
      <c r="N65" s="451">
        <f t="shared" si="46"/>
        <v>0</v>
      </c>
      <c r="O65" s="451">
        <f t="shared" si="47"/>
        <v>0</v>
      </c>
      <c r="P65" s="452">
        <f t="shared" si="48"/>
        <v>0</v>
      </c>
      <c r="Q65" s="452">
        <f t="shared" si="48"/>
        <v>0</v>
      </c>
      <c r="R65" s="453">
        <f t="shared" si="48"/>
        <v>0</v>
      </c>
      <c r="S65" s="55"/>
      <c r="T65" s="591"/>
      <c r="U65" s="594"/>
    </row>
    <row r="66" spans="1:21" s="10" customFormat="1" ht="17.45" customHeight="1" x14ac:dyDescent="0.3">
      <c r="A66" s="1"/>
      <c r="B66" s="455" t="s">
        <v>39</v>
      </c>
      <c r="C66" s="1239" t="s">
        <v>40</v>
      </c>
      <c r="D66" s="1239"/>
      <c r="E66" s="1239"/>
      <c r="F66" s="1239"/>
      <c r="G66" s="466">
        <f t="shared" ref="G66:R66" si="49">SUM(G67:G74)</f>
        <v>0</v>
      </c>
      <c r="H66" s="466">
        <f t="shared" si="49"/>
        <v>0</v>
      </c>
      <c r="I66" s="466">
        <f t="shared" si="49"/>
        <v>0</v>
      </c>
      <c r="J66" s="462" t="e">
        <f t="shared" si="49"/>
        <v>#REF!</v>
      </c>
      <c r="K66" s="462" t="e">
        <f t="shared" si="49"/>
        <v>#REF!</v>
      </c>
      <c r="L66" s="462" t="e">
        <f t="shared" si="49"/>
        <v>#REF!</v>
      </c>
      <c r="M66" s="463">
        <f t="shared" si="49"/>
        <v>0</v>
      </c>
      <c r="N66" s="463">
        <f t="shared" si="49"/>
        <v>0</v>
      </c>
      <c r="O66" s="463">
        <f t="shared" si="49"/>
        <v>0</v>
      </c>
      <c r="P66" s="464" t="e">
        <f t="shared" si="49"/>
        <v>#REF!</v>
      </c>
      <c r="Q66" s="464" t="e">
        <f t="shared" si="49"/>
        <v>#REF!</v>
      </c>
      <c r="R66" s="465" t="e">
        <f t="shared" si="49"/>
        <v>#REF!</v>
      </c>
      <c r="S66" s="57"/>
      <c r="T66" s="597"/>
      <c r="U66" s="593"/>
    </row>
    <row r="67" spans="1:21" s="5" customFormat="1" ht="17.45" customHeight="1" x14ac:dyDescent="0.3">
      <c r="A67" s="1"/>
      <c r="B67" s="454" t="s">
        <v>41</v>
      </c>
      <c r="C67" s="1224" t="s">
        <v>1438</v>
      </c>
      <c r="D67" s="1225"/>
      <c r="E67" s="1225"/>
      <c r="F67" s="1225"/>
      <c r="G67" s="449">
        <v>0</v>
      </c>
      <c r="H67" s="449">
        <f t="shared" ref="H67:H72" si="50">G67*$E$120</f>
        <v>0</v>
      </c>
      <c r="I67" s="449">
        <f t="shared" ref="I67:I72" si="51">G67+H67</f>
        <v>0</v>
      </c>
      <c r="J67" s="450" t="e">
        <f>#REF!</f>
        <v>#REF!</v>
      </c>
      <c r="K67" s="450" t="e">
        <f t="shared" ref="K67:K74" si="52">J67*$E$120</f>
        <v>#REF!</v>
      </c>
      <c r="L67" s="450" t="e">
        <f t="shared" ref="L67:L74" si="53">J67+K67</f>
        <v>#REF!</v>
      </c>
      <c r="M67" s="451">
        <v>0</v>
      </c>
      <c r="N67" s="451">
        <f t="shared" ref="N67:N72" si="54">M67*$E$120</f>
        <v>0</v>
      </c>
      <c r="O67" s="451">
        <f t="shared" ref="O67:O72" si="55">M67+N67</f>
        <v>0</v>
      </c>
      <c r="P67" s="452" t="e">
        <f t="shared" ref="P67:R74" si="56">G67+M67+J67</f>
        <v>#REF!</v>
      </c>
      <c r="Q67" s="452" t="e">
        <f t="shared" si="56"/>
        <v>#REF!</v>
      </c>
      <c r="R67" s="453" t="e">
        <f t="shared" si="56"/>
        <v>#REF!</v>
      </c>
      <c r="S67" s="55"/>
      <c r="T67" s="598"/>
      <c r="U67" s="594"/>
    </row>
    <row r="68" spans="1:21" ht="17.45" customHeight="1" x14ac:dyDescent="0.3">
      <c r="A68" s="1"/>
      <c r="B68" s="454" t="s">
        <v>1313</v>
      </c>
      <c r="C68" s="1224" t="s">
        <v>1440</v>
      </c>
      <c r="D68" s="1224"/>
      <c r="E68" s="1224"/>
      <c r="F68" s="1224"/>
      <c r="G68" s="449">
        <v>0</v>
      </c>
      <c r="H68" s="449">
        <f t="shared" si="50"/>
        <v>0</v>
      </c>
      <c r="I68" s="449">
        <f t="shared" si="51"/>
        <v>0</v>
      </c>
      <c r="J68" s="450">
        <f>'04-DO'!D25</f>
        <v>0</v>
      </c>
      <c r="K68" s="450">
        <f t="shared" si="52"/>
        <v>0</v>
      </c>
      <c r="L68" s="450">
        <f t="shared" si="53"/>
        <v>0</v>
      </c>
      <c r="M68" s="451">
        <v>0</v>
      </c>
      <c r="N68" s="451">
        <f t="shared" si="54"/>
        <v>0</v>
      </c>
      <c r="O68" s="451">
        <f t="shared" si="55"/>
        <v>0</v>
      </c>
      <c r="P68" s="452">
        <f t="shared" si="56"/>
        <v>0</v>
      </c>
      <c r="Q68" s="452">
        <f t="shared" si="56"/>
        <v>0</v>
      </c>
      <c r="R68" s="453">
        <f t="shared" si="56"/>
        <v>0</v>
      </c>
      <c r="S68" s="53"/>
    </row>
    <row r="69" spans="1:21" ht="17.45" customHeight="1" x14ac:dyDescent="0.25">
      <c r="A69" s="1"/>
      <c r="B69" s="454" t="s">
        <v>1314</v>
      </c>
      <c r="C69" s="1224" t="s">
        <v>1503</v>
      </c>
      <c r="D69" s="1224"/>
      <c r="E69" s="1224"/>
      <c r="F69" s="1224"/>
      <c r="G69" s="449">
        <v>0</v>
      </c>
      <c r="H69" s="449">
        <f t="shared" si="50"/>
        <v>0</v>
      </c>
      <c r="I69" s="449">
        <f t="shared" si="51"/>
        <v>0</v>
      </c>
      <c r="J69" s="450">
        <f>'09-DO'!D25</f>
        <v>0</v>
      </c>
      <c r="K69" s="450">
        <f t="shared" si="52"/>
        <v>0</v>
      </c>
      <c r="L69" s="450">
        <f t="shared" si="53"/>
        <v>0</v>
      </c>
      <c r="M69" s="451">
        <v>0</v>
      </c>
      <c r="N69" s="451">
        <f t="shared" si="54"/>
        <v>0</v>
      </c>
      <c r="O69" s="451">
        <f t="shared" si="55"/>
        <v>0</v>
      </c>
      <c r="P69" s="452">
        <f t="shared" si="56"/>
        <v>0</v>
      </c>
      <c r="Q69" s="452">
        <f t="shared" si="56"/>
        <v>0</v>
      </c>
      <c r="R69" s="453">
        <f t="shared" si="56"/>
        <v>0</v>
      </c>
      <c r="S69" s="53"/>
    </row>
    <row r="70" spans="1:21" ht="17.45" customHeight="1" x14ac:dyDescent="0.25">
      <c r="A70" s="1"/>
      <c r="B70" s="454" t="s">
        <v>1315</v>
      </c>
      <c r="C70" s="1224" t="s">
        <v>1509</v>
      </c>
      <c r="D70" s="1224"/>
      <c r="E70" s="1224"/>
      <c r="F70" s="1224"/>
      <c r="G70" s="449">
        <v>0</v>
      </c>
      <c r="H70" s="449">
        <f t="shared" si="50"/>
        <v>0</v>
      </c>
      <c r="I70" s="449">
        <f t="shared" si="51"/>
        <v>0</v>
      </c>
      <c r="J70" s="450">
        <f>'10-DO'!D25</f>
        <v>0</v>
      </c>
      <c r="K70" s="450">
        <f t="shared" si="52"/>
        <v>0</v>
      </c>
      <c r="L70" s="450">
        <f t="shared" si="53"/>
        <v>0</v>
      </c>
      <c r="M70" s="451">
        <v>0</v>
      </c>
      <c r="N70" s="451">
        <f t="shared" si="54"/>
        <v>0</v>
      </c>
      <c r="O70" s="451">
        <f t="shared" si="55"/>
        <v>0</v>
      </c>
      <c r="P70" s="452">
        <f t="shared" si="56"/>
        <v>0</v>
      </c>
      <c r="Q70" s="452">
        <f t="shared" si="56"/>
        <v>0</v>
      </c>
      <c r="R70" s="453">
        <f t="shared" si="56"/>
        <v>0</v>
      </c>
      <c r="S70" s="53"/>
    </row>
    <row r="71" spans="1:21" ht="17.45" customHeight="1" x14ac:dyDescent="0.3">
      <c r="A71" s="1"/>
      <c r="B71" s="454" t="s">
        <v>1316</v>
      </c>
      <c r="C71" s="1224" t="s">
        <v>1441</v>
      </c>
      <c r="D71" s="1224"/>
      <c r="E71" s="1224"/>
      <c r="F71" s="1224"/>
      <c r="G71" s="449">
        <v>0</v>
      </c>
      <c r="H71" s="449">
        <f t="shared" si="50"/>
        <v>0</v>
      </c>
      <c r="I71" s="449">
        <f t="shared" si="51"/>
        <v>0</v>
      </c>
      <c r="J71" s="450">
        <f>'05-DO'!D25</f>
        <v>0</v>
      </c>
      <c r="K71" s="450">
        <f t="shared" si="52"/>
        <v>0</v>
      </c>
      <c r="L71" s="450">
        <f t="shared" si="53"/>
        <v>0</v>
      </c>
      <c r="M71" s="451">
        <v>0</v>
      </c>
      <c r="N71" s="451">
        <f t="shared" si="54"/>
        <v>0</v>
      </c>
      <c r="O71" s="451">
        <f t="shared" si="55"/>
        <v>0</v>
      </c>
      <c r="P71" s="452">
        <f t="shared" si="56"/>
        <v>0</v>
      </c>
      <c r="Q71" s="452">
        <f t="shared" si="56"/>
        <v>0</v>
      </c>
      <c r="R71" s="453">
        <f t="shared" si="56"/>
        <v>0</v>
      </c>
      <c r="S71" s="53"/>
    </row>
    <row r="72" spans="1:21" ht="17.45" customHeight="1" x14ac:dyDescent="0.3">
      <c r="A72" s="1"/>
      <c r="B72" s="454" t="s">
        <v>1317</v>
      </c>
      <c r="C72" s="1224" t="s">
        <v>1442</v>
      </c>
      <c r="D72" s="1224"/>
      <c r="E72" s="1224"/>
      <c r="F72" s="1224"/>
      <c r="G72" s="449">
        <v>0</v>
      </c>
      <c r="H72" s="449">
        <f t="shared" si="50"/>
        <v>0</v>
      </c>
      <c r="I72" s="449">
        <f t="shared" si="51"/>
        <v>0</v>
      </c>
      <c r="J72" s="450">
        <f>'06-DO'!D25</f>
        <v>0</v>
      </c>
      <c r="K72" s="450">
        <f t="shared" si="52"/>
        <v>0</v>
      </c>
      <c r="L72" s="450">
        <f t="shared" si="53"/>
        <v>0</v>
      </c>
      <c r="M72" s="451">
        <v>0</v>
      </c>
      <c r="N72" s="451">
        <f t="shared" si="54"/>
        <v>0</v>
      </c>
      <c r="O72" s="451">
        <f t="shared" si="55"/>
        <v>0</v>
      </c>
      <c r="P72" s="452">
        <f t="shared" si="56"/>
        <v>0</v>
      </c>
      <c r="Q72" s="452">
        <f t="shared" si="56"/>
        <v>0</v>
      </c>
      <c r="R72" s="453">
        <f t="shared" si="56"/>
        <v>0</v>
      </c>
      <c r="S72" s="53"/>
    </row>
    <row r="73" spans="1:21" ht="17.45" hidden="1" customHeight="1" x14ac:dyDescent="0.3">
      <c r="A73" s="1"/>
      <c r="B73" s="454" t="s">
        <v>1318</v>
      </c>
      <c r="C73" s="1238"/>
      <c r="D73" s="1238"/>
      <c r="E73" s="1238"/>
      <c r="F73" s="1238"/>
      <c r="G73" s="449"/>
      <c r="H73" s="449"/>
      <c r="I73" s="449"/>
      <c r="J73" s="450"/>
      <c r="K73" s="450">
        <f t="shared" si="52"/>
        <v>0</v>
      </c>
      <c r="L73" s="450">
        <f t="shared" si="53"/>
        <v>0</v>
      </c>
      <c r="M73" s="451"/>
      <c r="N73" s="451"/>
      <c r="O73" s="451"/>
      <c r="P73" s="452">
        <f t="shared" si="56"/>
        <v>0</v>
      </c>
      <c r="Q73" s="452">
        <f t="shared" si="56"/>
        <v>0</v>
      </c>
      <c r="R73" s="453">
        <f t="shared" si="56"/>
        <v>0</v>
      </c>
      <c r="S73" s="53"/>
    </row>
    <row r="74" spans="1:21" ht="17.45" hidden="1" customHeight="1" x14ac:dyDescent="0.3">
      <c r="A74" s="1"/>
      <c r="B74" s="454" t="s">
        <v>1422</v>
      </c>
      <c r="C74" s="1224"/>
      <c r="D74" s="1224"/>
      <c r="E74" s="1224"/>
      <c r="F74" s="1224"/>
      <c r="G74" s="449">
        <v>0</v>
      </c>
      <c r="H74" s="449">
        <f>G74*$E$120</f>
        <v>0</v>
      </c>
      <c r="I74" s="449">
        <f>G74+H74</f>
        <v>0</v>
      </c>
      <c r="J74" s="450"/>
      <c r="K74" s="450">
        <f t="shared" si="52"/>
        <v>0</v>
      </c>
      <c r="L74" s="450">
        <f t="shared" si="53"/>
        <v>0</v>
      </c>
      <c r="M74" s="451">
        <v>0</v>
      </c>
      <c r="N74" s="451">
        <f>M74*$E$120</f>
        <v>0</v>
      </c>
      <c r="O74" s="451">
        <f>M74+N74</f>
        <v>0</v>
      </c>
      <c r="P74" s="452">
        <f t="shared" si="56"/>
        <v>0</v>
      </c>
      <c r="Q74" s="452">
        <f t="shared" si="56"/>
        <v>0</v>
      </c>
      <c r="R74" s="453">
        <f t="shared" si="56"/>
        <v>0</v>
      </c>
      <c r="S74" s="53"/>
    </row>
    <row r="75" spans="1:21" ht="17.45" customHeight="1" x14ac:dyDescent="0.25">
      <c r="A75" s="1"/>
      <c r="B75" s="455" t="s">
        <v>42</v>
      </c>
      <c r="C75" s="1231" t="s">
        <v>1421</v>
      </c>
      <c r="D75" s="1231"/>
      <c r="E75" s="1231"/>
      <c r="F75" s="1231"/>
      <c r="G75" s="466">
        <f t="shared" ref="G75:H75" si="57">SUM(G76:G83)</f>
        <v>0</v>
      </c>
      <c r="H75" s="466">
        <f t="shared" si="57"/>
        <v>0</v>
      </c>
      <c r="I75" s="466">
        <f t="shared" ref="I75:R75" si="58">SUM(I76:I83)</f>
        <v>0</v>
      </c>
      <c r="J75" s="462" t="e">
        <f t="shared" si="58"/>
        <v>#REF!</v>
      </c>
      <c r="K75" s="462" t="e">
        <f t="shared" si="58"/>
        <v>#REF!</v>
      </c>
      <c r="L75" s="462" t="e">
        <f t="shared" si="58"/>
        <v>#REF!</v>
      </c>
      <c r="M75" s="463">
        <f t="shared" si="58"/>
        <v>0</v>
      </c>
      <c r="N75" s="463">
        <f t="shared" si="58"/>
        <v>0</v>
      </c>
      <c r="O75" s="463">
        <f t="shared" si="58"/>
        <v>0</v>
      </c>
      <c r="P75" s="464" t="e">
        <f t="shared" si="58"/>
        <v>#REF!</v>
      </c>
      <c r="Q75" s="464" t="e">
        <f t="shared" si="58"/>
        <v>#REF!</v>
      </c>
      <c r="R75" s="465" t="e">
        <f t="shared" si="58"/>
        <v>#REF!</v>
      </c>
      <c r="S75" s="53"/>
    </row>
    <row r="76" spans="1:21" ht="17.45" customHeight="1" x14ac:dyDescent="0.3">
      <c r="A76" s="1"/>
      <c r="B76" s="454" t="s">
        <v>43</v>
      </c>
      <c r="C76" s="1224" t="s">
        <v>1438</v>
      </c>
      <c r="D76" s="1225"/>
      <c r="E76" s="1225"/>
      <c r="F76" s="1225"/>
      <c r="G76" s="449">
        <v>0</v>
      </c>
      <c r="H76" s="449">
        <f t="shared" ref="H76:H81" si="59">G76*$E$120</f>
        <v>0</v>
      </c>
      <c r="I76" s="449">
        <f t="shared" ref="I76:I81" si="60">G76+H76</f>
        <v>0</v>
      </c>
      <c r="J76" s="450" t="e">
        <f>#REF!</f>
        <v>#REF!</v>
      </c>
      <c r="K76" s="450" t="e">
        <f t="shared" ref="K76:K84" si="61">J76*$E$120</f>
        <v>#REF!</v>
      </c>
      <c r="L76" s="450" t="e">
        <f t="shared" ref="L76:L84" si="62">J76+K76</f>
        <v>#REF!</v>
      </c>
      <c r="M76" s="451">
        <v>0</v>
      </c>
      <c r="N76" s="451">
        <f t="shared" ref="N76:N81" si="63">M76*$E$120</f>
        <v>0</v>
      </c>
      <c r="O76" s="451">
        <f t="shared" ref="O76:O81" si="64">M76+N76</f>
        <v>0</v>
      </c>
      <c r="P76" s="452" t="e">
        <f t="shared" ref="P76:R88" si="65">G76+M76+J76</f>
        <v>#REF!</v>
      </c>
      <c r="Q76" s="452" t="e">
        <f t="shared" si="65"/>
        <v>#REF!</v>
      </c>
      <c r="R76" s="453" t="e">
        <f t="shared" si="65"/>
        <v>#REF!</v>
      </c>
      <c r="S76" s="53"/>
    </row>
    <row r="77" spans="1:21" ht="17.45" customHeight="1" x14ac:dyDescent="0.3">
      <c r="A77" s="1"/>
      <c r="B77" s="454" t="s">
        <v>1307</v>
      </c>
      <c r="C77" s="1224" t="s">
        <v>1440</v>
      </c>
      <c r="D77" s="1224"/>
      <c r="E77" s="1224"/>
      <c r="F77" s="1224"/>
      <c r="G77" s="449">
        <v>0</v>
      </c>
      <c r="H77" s="449">
        <f t="shared" si="59"/>
        <v>0</v>
      </c>
      <c r="I77" s="449">
        <f t="shared" si="60"/>
        <v>0</v>
      </c>
      <c r="J77" s="450">
        <f>'04-DO'!D26</f>
        <v>0</v>
      </c>
      <c r="K77" s="450">
        <f t="shared" si="61"/>
        <v>0</v>
      </c>
      <c r="L77" s="450">
        <f t="shared" si="62"/>
        <v>0</v>
      </c>
      <c r="M77" s="451">
        <v>0</v>
      </c>
      <c r="N77" s="451">
        <f t="shared" si="63"/>
        <v>0</v>
      </c>
      <c r="O77" s="451">
        <f t="shared" si="64"/>
        <v>0</v>
      </c>
      <c r="P77" s="452">
        <f t="shared" si="65"/>
        <v>0</v>
      </c>
      <c r="Q77" s="452">
        <f t="shared" si="65"/>
        <v>0</v>
      </c>
      <c r="R77" s="453">
        <f t="shared" si="65"/>
        <v>0</v>
      </c>
      <c r="S77" s="53"/>
    </row>
    <row r="78" spans="1:21" ht="17.45" customHeight="1" x14ac:dyDescent="0.25">
      <c r="A78" s="1"/>
      <c r="B78" s="454" t="s">
        <v>1308</v>
      </c>
      <c r="C78" s="1224" t="s">
        <v>1503</v>
      </c>
      <c r="D78" s="1224"/>
      <c r="E78" s="1224"/>
      <c r="F78" s="1224"/>
      <c r="G78" s="449">
        <v>0</v>
      </c>
      <c r="H78" s="449">
        <f t="shared" si="59"/>
        <v>0</v>
      </c>
      <c r="I78" s="449">
        <f t="shared" si="60"/>
        <v>0</v>
      </c>
      <c r="J78" s="450">
        <f>'09-DO'!D26</f>
        <v>0</v>
      </c>
      <c r="K78" s="450">
        <f t="shared" si="61"/>
        <v>0</v>
      </c>
      <c r="L78" s="450">
        <f t="shared" si="62"/>
        <v>0</v>
      </c>
      <c r="M78" s="451">
        <v>0</v>
      </c>
      <c r="N78" s="451">
        <f t="shared" si="63"/>
        <v>0</v>
      </c>
      <c r="O78" s="451">
        <f t="shared" si="64"/>
        <v>0</v>
      </c>
      <c r="P78" s="452">
        <f t="shared" si="65"/>
        <v>0</v>
      </c>
      <c r="Q78" s="452">
        <f t="shared" si="65"/>
        <v>0</v>
      </c>
      <c r="R78" s="453">
        <f t="shared" si="65"/>
        <v>0</v>
      </c>
      <c r="S78" s="53"/>
    </row>
    <row r="79" spans="1:21" ht="17.45" customHeight="1" x14ac:dyDescent="0.25">
      <c r="A79" s="1"/>
      <c r="B79" s="454" t="s">
        <v>1309</v>
      </c>
      <c r="C79" s="1224" t="s">
        <v>1509</v>
      </c>
      <c r="D79" s="1224"/>
      <c r="E79" s="1224"/>
      <c r="F79" s="1224"/>
      <c r="G79" s="449">
        <v>0</v>
      </c>
      <c r="H79" s="449">
        <f t="shared" si="59"/>
        <v>0</v>
      </c>
      <c r="I79" s="449">
        <f t="shared" si="60"/>
        <v>0</v>
      </c>
      <c r="J79" s="450">
        <f>'10-DO'!D26</f>
        <v>0</v>
      </c>
      <c r="K79" s="450">
        <f t="shared" si="61"/>
        <v>0</v>
      </c>
      <c r="L79" s="450">
        <f t="shared" si="62"/>
        <v>0</v>
      </c>
      <c r="M79" s="451">
        <v>0</v>
      </c>
      <c r="N79" s="451">
        <f t="shared" si="63"/>
        <v>0</v>
      </c>
      <c r="O79" s="451">
        <f t="shared" si="64"/>
        <v>0</v>
      </c>
      <c r="P79" s="452">
        <f t="shared" si="65"/>
        <v>0</v>
      </c>
      <c r="Q79" s="452">
        <f t="shared" si="65"/>
        <v>0</v>
      </c>
      <c r="R79" s="453">
        <f t="shared" si="65"/>
        <v>0</v>
      </c>
      <c r="S79" s="53"/>
    </row>
    <row r="80" spans="1:21" ht="17.45" customHeight="1" x14ac:dyDescent="0.3">
      <c r="A80" s="1"/>
      <c r="B80" s="454" t="s">
        <v>1310</v>
      </c>
      <c r="C80" s="1224" t="s">
        <v>1441</v>
      </c>
      <c r="D80" s="1224"/>
      <c r="E80" s="1224"/>
      <c r="F80" s="1224"/>
      <c r="G80" s="449">
        <v>0</v>
      </c>
      <c r="H80" s="449">
        <f t="shared" si="59"/>
        <v>0</v>
      </c>
      <c r="I80" s="449">
        <f t="shared" si="60"/>
        <v>0</v>
      </c>
      <c r="J80" s="450">
        <f>'05-DO'!D26</f>
        <v>0</v>
      </c>
      <c r="K80" s="450">
        <f t="shared" si="61"/>
        <v>0</v>
      </c>
      <c r="L80" s="450">
        <f t="shared" si="62"/>
        <v>0</v>
      </c>
      <c r="M80" s="451">
        <v>0</v>
      </c>
      <c r="N80" s="451">
        <f t="shared" si="63"/>
        <v>0</v>
      </c>
      <c r="O80" s="451">
        <f t="shared" si="64"/>
        <v>0</v>
      </c>
      <c r="P80" s="452">
        <f t="shared" si="65"/>
        <v>0</v>
      </c>
      <c r="Q80" s="452">
        <f t="shared" si="65"/>
        <v>0</v>
      </c>
      <c r="R80" s="453">
        <f t="shared" si="65"/>
        <v>0</v>
      </c>
      <c r="S80" s="53"/>
    </row>
    <row r="81" spans="1:21" ht="17.45" customHeight="1" x14ac:dyDescent="0.3">
      <c r="A81" s="1"/>
      <c r="B81" s="454" t="s">
        <v>1311</v>
      </c>
      <c r="C81" s="1224" t="s">
        <v>1442</v>
      </c>
      <c r="D81" s="1224"/>
      <c r="E81" s="1224"/>
      <c r="F81" s="1224"/>
      <c r="G81" s="449">
        <v>0</v>
      </c>
      <c r="H81" s="449">
        <f t="shared" si="59"/>
        <v>0</v>
      </c>
      <c r="I81" s="449">
        <f t="shared" si="60"/>
        <v>0</v>
      </c>
      <c r="J81" s="450">
        <f>'06-DO'!D26</f>
        <v>0</v>
      </c>
      <c r="K81" s="450">
        <f t="shared" si="61"/>
        <v>0</v>
      </c>
      <c r="L81" s="450">
        <f t="shared" si="62"/>
        <v>0</v>
      </c>
      <c r="M81" s="451">
        <v>0</v>
      </c>
      <c r="N81" s="451">
        <f t="shared" si="63"/>
        <v>0</v>
      </c>
      <c r="O81" s="451">
        <f t="shared" si="64"/>
        <v>0</v>
      </c>
      <c r="P81" s="452">
        <f t="shared" si="65"/>
        <v>0</v>
      </c>
      <c r="Q81" s="452">
        <f t="shared" si="65"/>
        <v>0</v>
      </c>
      <c r="R81" s="453">
        <f t="shared" si="65"/>
        <v>0</v>
      </c>
      <c r="S81" s="53"/>
    </row>
    <row r="82" spans="1:21" ht="17.45" hidden="1" customHeight="1" x14ac:dyDescent="0.3">
      <c r="A82" s="1"/>
      <c r="B82" s="454" t="s">
        <v>1312</v>
      </c>
      <c r="C82" s="1238"/>
      <c r="D82" s="1238"/>
      <c r="E82" s="1238"/>
      <c r="F82" s="1238"/>
      <c r="G82" s="449"/>
      <c r="H82" s="449"/>
      <c r="I82" s="449"/>
      <c r="J82" s="450"/>
      <c r="K82" s="450">
        <f t="shared" si="61"/>
        <v>0</v>
      </c>
      <c r="L82" s="450">
        <f t="shared" si="62"/>
        <v>0</v>
      </c>
      <c r="M82" s="451"/>
      <c r="N82" s="451"/>
      <c r="O82" s="451"/>
      <c r="P82" s="452">
        <f t="shared" si="65"/>
        <v>0</v>
      </c>
      <c r="Q82" s="452">
        <f t="shared" si="65"/>
        <v>0</v>
      </c>
      <c r="R82" s="453">
        <f t="shared" si="65"/>
        <v>0</v>
      </c>
      <c r="S82" s="53"/>
    </row>
    <row r="83" spans="1:21" ht="17.45" hidden="1" customHeight="1" x14ac:dyDescent="0.3">
      <c r="A83" s="1"/>
      <c r="B83" s="454" t="s">
        <v>1423</v>
      </c>
      <c r="C83" s="1224"/>
      <c r="D83" s="1224"/>
      <c r="E83" s="1224"/>
      <c r="F83" s="1224"/>
      <c r="G83" s="449">
        <v>0</v>
      </c>
      <c r="H83" s="449">
        <f>G83*$E$120</f>
        <v>0</v>
      </c>
      <c r="I83" s="449">
        <f>G83+H83</f>
        <v>0</v>
      </c>
      <c r="J83" s="450"/>
      <c r="K83" s="450">
        <f t="shared" si="61"/>
        <v>0</v>
      </c>
      <c r="L83" s="450">
        <f t="shared" si="62"/>
        <v>0</v>
      </c>
      <c r="M83" s="451">
        <v>0</v>
      </c>
      <c r="N83" s="451">
        <f>M83*$E$120</f>
        <v>0</v>
      </c>
      <c r="O83" s="451">
        <f>M83+N83</f>
        <v>0</v>
      </c>
      <c r="P83" s="452">
        <f t="shared" si="65"/>
        <v>0</v>
      </c>
      <c r="Q83" s="452">
        <f t="shared" si="65"/>
        <v>0</v>
      </c>
      <c r="R83" s="453">
        <f t="shared" si="65"/>
        <v>0</v>
      </c>
      <c r="S83" s="53"/>
    </row>
    <row r="84" spans="1:21" s="10" customFormat="1" ht="35.1" customHeight="1" x14ac:dyDescent="0.25">
      <c r="A84" s="1"/>
      <c r="B84" s="455" t="s">
        <v>44</v>
      </c>
      <c r="C84" s="1231" t="s">
        <v>1319</v>
      </c>
      <c r="D84" s="1231"/>
      <c r="E84" s="1231"/>
      <c r="F84" s="1231"/>
      <c r="G84" s="466">
        <v>0</v>
      </c>
      <c r="H84" s="466">
        <f>G84*$E$120</f>
        <v>0</v>
      </c>
      <c r="I84" s="466">
        <f>G84+H84</f>
        <v>0</v>
      </c>
      <c r="J84" s="462" t="e">
        <f>#REF!</f>
        <v>#REF!</v>
      </c>
      <c r="K84" s="462" t="e">
        <f t="shared" si="61"/>
        <v>#REF!</v>
      </c>
      <c r="L84" s="462" t="e">
        <f t="shared" si="62"/>
        <v>#REF!</v>
      </c>
      <c r="M84" s="463">
        <v>0</v>
      </c>
      <c r="N84" s="463">
        <f>M84*$E$120</f>
        <v>0</v>
      </c>
      <c r="O84" s="463">
        <f>M84+N84</f>
        <v>0</v>
      </c>
      <c r="P84" s="464" t="e">
        <f t="shared" si="65"/>
        <v>#REF!</v>
      </c>
      <c r="Q84" s="464" t="e">
        <f t="shared" si="65"/>
        <v>#REF!</v>
      </c>
      <c r="R84" s="465" t="e">
        <f t="shared" si="65"/>
        <v>#REF!</v>
      </c>
      <c r="S84" s="57"/>
      <c r="T84" s="597"/>
      <c r="U84" s="593"/>
    </row>
    <row r="85" spans="1:21" s="11" customFormat="1" ht="17.45" customHeight="1" x14ac:dyDescent="0.25">
      <c r="A85" s="1"/>
      <c r="B85" s="455" t="s">
        <v>45</v>
      </c>
      <c r="C85" s="1231" t="s">
        <v>46</v>
      </c>
      <c r="D85" s="1231"/>
      <c r="E85" s="1231"/>
      <c r="F85" s="1231"/>
      <c r="G85" s="466">
        <f t="shared" ref="G85:O85" si="66">SUM(G86:G87)</f>
        <v>0</v>
      </c>
      <c r="H85" s="466">
        <f t="shared" si="66"/>
        <v>0</v>
      </c>
      <c r="I85" s="466">
        <f t="shared" si="66"/>
        <v>0</v>
      </c>
      <c r="J85" s="462" t="e">
        <f t="shared" si="66"/>
        <v>#REF!</v>
      </c>
      <c r="K85" s="462" t="e">
        <f t="shared" si="66"/>
        <v>#REF!</v>
      </c>
      <c r="L85" s="462" t="e">
        <f t="shared" si="66"/>
        <v>#REF!</v>
      </c>
      <c r="M85" s="463">
        <f t="shared" si="66"/>
        <v>0</v>
      </c>
      <c r="N85" s="463">
        <f t="shared" si="66"/>
        <v>0</v>
      </c>
      <c r="O85" s="463">
        <f t="shared" si="66"/>
        <v>0</v>
      </c>
      <c r="P85" s="464" t="e">
        <f t="shared" si="65"/>
        <v>#REF!</v>
      </c>
      <c r="Q85" s="464" t="e">
        <f t="shared" si="65"/>
        <v>#REF!</v>
      </c>
      <c r="R85" s="465" t="e">
        <f t="shared" si="65"/>
        <v>#REF!</v>
      </c>
      <c r="S85" s="59"/>
      <c r="T85" s="597"/>
      <c r="U85" s="593"/>
    </row>
    <row r="86" spans="1:21" ht="17.45" customHeight="1" x14ac:dyDescent="0.25">
      <c r="A86" s="1"/>
      <c r="B86" s="454" t="s">
        <v>73</v>
      </c>
      <c r="C86" s="1224" t="s">
        <v>1438</v>
      </c>
      <c r="D86" s="1225"/>
      <c r="E86" s="1225"/>
      <c r="F86" s="1225"/>
      <c r="G86" s="449">
        <v>0</v>
      </c>
      <c r="H86" s="449">
        <f>G86*$E$120</f>
        <v>0</v>
      </c>
      <c r="I86" s="449">
        <f>G86+H86</f>
        <v>0</v>
      </c>
      <c r="J86" s="450" t="e">
        <f>#REF!</f>
        <v>#REF!</v>
      </c>
      <c r="K86" s="450" t="e">
        <f>J86*$E$120</f>
        <v>#REF!</v>
      </c>
      <c r="L86" s="450" t="e">
        <f>J86+K86</f>
        <v>#REF!</v>
      </c>
      <c r="M86" s="451">
        <v>0</v>
      </c>
      <c r="N86" s="451">
        <f>M86*$E$120</f>
        <v>0</v>
      </c>
      <c r="O86" s="451">
        <f>M86+N86</f>
        <v>0</v>
      </c>
      <c r="P86" s="452" t="e">
        <f t="shared" si="65"/>
        <v>#REF!</v>
      </c>
      <c r="Q86" s="452" t="e">
        <f t="shared" si="65"/>
        <v>#REF!</v>
      </c>
      <c r="R86" s="453" t="e">
        <f t="shared" si="65"/>
        <v>#REF!</v>
      </c>
      <c r="S86" s="53"/>
    </row>
    <row r="87" spans="1:21" ht="17.45" hidden="1" customHeight="1" x14ac:dyDescent="0.3">
      <c r="A87" s="1"/>
      <c r="B87" s="454" t="s">
        <v>74</v>
      </c>
      <c r="C87" s="1224"/>
      <c r="D87" s="1224"/>
      <c r="E87" s="1224"/>
      <c r="F87" s="1224"/>
      <c r="G87" s="449">
        <v>0</v>
      </c>
      <c r="H87" s="449">
        <f>G87*$E$120</f>
        <v>0</v>
      </c>
      <c r="I87" s="449">
        <f>G87+H87</f>
        <v>0</v>
      </c>
      <c r="J87" s="450">
        <v>0</v>
      </c>
      <c r="K87" s="450">
        <f>J87*$E$120</f>
        <v>0</v>
      </c>
      <c r="L87" s="450">
        <f>J87+K87</f>
        <v>0</v>
      </c>
      <c r="M87" s="451">
        <v>0</v>
      </c>
      <c r="N87" s="451">
        <f>M87*$E$120</f>
        <v>0</v>
      </c>
      <c r="O87" s="451">
        <f>M87+N87</f>
        <v>0</v>
      </c>
      <c r="P87" s="452">
        <f t="shared" si="65"/>
        <v>0</v>
      </c>
      <c r="Q87" s="452">
        <f t="shared" si="65"/>
        <v>0</v>
      </c>
      <c r="R87" s="453">
        <f t="shared" si="65"/>
        <v>0</v>
      </c>
      <c r="S87" s="53"/>
    </row>
    <row r="88" spans="1:21" s="11" customFormat="1" ht="17.45" customHeight="1" x14ac:dyDescent="0.25">
      <c r="A88" s="1"/>
      <c r="B88" s="455" t="s">
        <v>47</v>
      </c>
      <c r="C88" s="1231" t="s">
        <v>48</v>
      </c>
      <c r="D88" s="1231"/>
      <c r="E88" s="1231"/>
      <c r="F88" s="1231"/>
      <c r="G88" s="466">
        <v>0</v>
      </c>
      <c r="H88" s="466">
        <f>G88*$E$120</f>
        <v>0</v>
      </c>
      <c r="I88" s="466">
        <f>G88+H88</f>
        <v>0</v>
      </c>
      <c r="J88" s="462">
        <v>0</v>
      </c>
      <c r="K88" s="462">
        <f>J88*$E$120</f>
        <v>0</v>
      </c>
      <c r="L88" s="462">
        <f>J88+K88</f>
        <v>0</v>
      </c>
      <c r="M88" s="463">
        <v>0</v>
      </c>
      <c r="N88" s="463">
        <f>M88*$E$120</f>
        <v>0</v>
      </c>
      <c r="O88" s="463">
        <f>M88+N88</f>
        <v>0</v>
      </c>
      <c r="P88" s="464">
        <f t="shared" si="65"/>
        <v>0</v>
      </c>
      <c r="Q88" s="464">
        <f t="shared" si="65"/>
        <v>0</v>
      </c>
      <c r="R88" s="465">
        <f t="shared" si="65"/>
        <v>0</v>
      </c>
      <c r="S88" s="59"/>
      <c r="T88" s="597"/>
      <c r="U88" s="593"/>
    </row>
    <row r="89" spans="1:21" ht="17.45" customHeight="1" thickBot="1" x14ac:dyDescent="0.3">
      <c r="A89" s="1"/>
      <c r="B89" s="1204" t="s">
        <v>49</v>
      </c>
      <c r="C89" s="1205"/>
      <c r="D89" s="1205"/>
      <c r="E89" s="1205"/>
      <c r="F89" s="1205"/>
      <c r="G89" s="509">
        <f t="shared" ref="G89:R89" si="67">G88+G85+G84+G75+G66+G58</f>
        <v>0</v>
      </c>
      <c r="H89" s="509">
        <f t="shared" si="67"/>
        <v>0</v>
      </c>
      <c r="I89" s="509">
        <f t="shared" si="67"/>
        <v>0</v>
      </c>
      <c r="J89" s="509" t="e">
        <f t="shared" si="67"/>
        <v>#REF!</v>
      </c>
      <c r="K89" s="509" t="e">
        <f t="shared" si="67"/>
        <v>#REF!</v>
      </c>
      <c r="L89" s="509" t="e">
        <f t="shared" si="67"/>
        <v>#REF!</v>
      </c>
      <c r="M89" s="509">
        <f t="shared" si="67"/>
        <v>0</v>
      </c>
      <c r="N89" s="509">
        <f t="shared" si="67"/>
        <v>0</v>
      </c>
      <c r="O89" s="509">
        <f t="shared" si="67"/>
        <v>0</v>
      </c>
      <c r="P89" s="509" t="e">
        <f t="shared" si="67"/>
        <v>#REF!</v>
      </c>
      <c r="Q89" s="509" t="e">
        <f t="shared" si="67"/>
        <v>#REF!</v>
      </c>
      <c r="R89" s="510" t="e">
        <f t="shared" si="67"/>
        <v>#REF!</v>
      </c>
      <c r="S89" s="53"/>
      <c r="T89" s="582" t="e">
        <f>R89/P89</f>
        <v>#REF!</v>
      </c>
    </row>
    <row r="90" spans="1:21" ht="17.45" customHeight="1" x14ac:dyDescent="0.25">
      <c r="A90" s="1"/>
      <c r="B90" s="1232" t="s">
        <v>50</v>
      </c>
      <c r="C90" s="1233"/>
      <c r="D90" s="1233"/>
      <c r="E90" s="1233"/>
      <c r="F90" s="1233"/>
      <c r="G90" s="1233"/>
      <c r="H90" s="1233"/>
      <c r="I90" s="1233"/>
      <c r="J90" s="1233"/>
      <c r="K90" s="1233"/>
      <c r="L90" s="1233"/>
      <c r="M90" s="1233"/>
      <c r="N90" s="1233"/>
      <c r="O90" s="1233"/>
      <c r="P90" s="1233"/>
      <c r="Q90" s="1233"/>
      <c r="R90" s="1234"/>
      <c r="S90" s="53"/>
    </row>
    <row r="91" spans="1:21" ht="17.45" customHeight="1" x14ac:dyDescent="0.25">
      <c r="A91" s="1"/>
      <c r="B91" s="1235" t="s">
        <v>51</v>
      </c>
      <c r="C91" s="1236"/>
      <c r="D91" s="1236"/>
      <c r="E91" s="1236"/>
      <c r="F91" s="1236"/>
      <c r="G91" s="1236"/>
      <c r="H91" s="1236"/>
      <c r="I91" s="1236"/>
      <c r="J91" s="1236"/>
      <c r="K91" s="1236"/>
      <c r="L91" s="1236"/>
      <c r="M91" s="1236"/>
      <c r="N91" s="1236"/>
      <c r="O91" s="1236"/>
      <c r="P91" s="1236"/>
      <c r="Q91" s="1236"/>
      <c r="R91" s="1237"/>
      <c r="S91" s="53"/>
    </row>
    <row r="92" spans="1:21" s="4" customFormat="1" ht="17.45" customHeight="1" x14ac:dyDescent="0.25">
      <c r="A92" s="1"/>
      <c r="B92" s="515" t="s">
        <v>52</v>
      </c>
      <c r="C92" s="1227" t="s">
        <v>1408</v>
      </c>
      <c r="D92" s="1222"/>
      <c r="E92" s="1222"/>
      <c r="F92" s="1222"/>
      <c r="G92" s="466">
        <f t="shared" ref="G92:O92" si="68">G93+G94</f>
        <v>0</v>
      </c>
      <c r="H92" s="466">
        <f t="shared" si="68"/>
        <v>0</v>
      </c>
      <c r="I92" s="466">
        <f t="shared" si="68"/>
        <v>0</v>
      </c>
      <c r="J92" s="462" t="e">
        <f t="shared" si="68"/>
        <v>#REF!</v>
      </c>
      <c r="K92" s="462" t="e">
        <f t="shared" si="68"/>
        <v>#REF!</v>
      </c>
      <c r="L92" s="462" t="e">
        <f t="shared" si="68"/>
        <v>#REF!</v>
      </c>
      <c r="M92" s="463">
        <f t="shared" si="68"/>
        <v>0</v>
      </c>
      <c r="N92" s="463">
        <f t="shared" si="68"/>
        <v>0</v>
      </c>
      <c r="O92" s="463">
        <f t="shared" si="68"/>
        <v>0</v>
      </c>
      <c r="P92" s="464" t="e">
        <f>SUM(P93:P94)</f>
        <v>#REF!</v>
      </c>
      <c r="Q92" s="464" t="e">
        <f t="shared" ref="Q92:R92" si="69">SUM(Q93:Q94)</f>
        <v>#REF!</v>
      </c>
      <c r="R92" s="465" t="e">
        <f t="shared" si="69"/>
        <v>#REF!</v>
      </c>
      <c r="S92" s="53"/>
      <c r="T92" s="582"/>
      <c r="U92" s="583"/>
    </row>
    <row r="93" spans="1:21" s="4" customFormat="1" ht="17.45" customHeight="1" x14ac:dyDescent="0.25">
      <c r="A93" s="1"/>
      <c r="B93" s="454" t="s">
        <v>53</v>
      </c>
      <c r="C93" s="1229" t="s">
        <v>77</v>
      </c>
      <c r="D93" s="1229"/>
      <c r="E93" s="1229"/>
      <c r="F93" s="1229"/>
      <c r="G93" s="449">
        <f>2.5%*70%*(G16+G19+G20+G29+G58)</f>
        <v>0</v>
      </c>
      <c r="H93" s="449">
        <f>G93*$E$120</f>
        <v>0</v>
      </c>
      <c r="I93" s="449">
        <f>G93+H93</f>
        <v>0</v>
      </c>
      <c r="J93" s="450" t="e">
        <f>2.5%*70%*(J16+J19+J20+J29+J58)</f>
        <v>#REF!</v>
      </c>
      <c r="K93" s="450" t="e">
        <f>J93*$E$120</f>
        <v>#REF!</v>
      </c>
      <c r="L93" s="450" t="e">
        <f>J93+K93</f>
        <v>#REF!</v>
      </c>
      <c r="M93" s="451">
        <f>2.5%*70%*(M16+M19+M20+M29+M58)</f>
        <v>0</v>
      </c>
      <c r="N93" s="451">
        <f>M93*$E$120</f>
        <v>0</v>
      </c>
      <c r="O93" s="451">
        <f>M93+N93</f>
        <v>0</v>
      </c>
      <c r="P93" s="452" t="e">
        <f t="shared" ref="P93:R102" si="70">G93+M93+J93</f>
        <v>#REF!</v>
      </c>
      <c r="Q93" s="452" t="e">
        <f t="shared" si="70"/>
        <v>#REF!</v>
      </c>
      <c r="R93" s="453" t="e">
        <f t="shared" si="70"/>
        <v>#REF!</v>
      </c>
      <c r="S93" s="53"/>
      <c r="T93" s="582"/>
      <c r="U93" s="583"/>
    </row>
    <row r="94" spans="1:21" s="12" customFormat="1" ht="17.45" customHeight="1" x14ac:dyDescent="0.25">
      <c r="A94" s="6"/>
      <c r="B94" s="454" t="s">
        <v>54</v>
      </c>
      <c r="C94" s="1229" t="s">
        <v>539</v>
      </c>
      <c r="D94" s="1228"/>
      <c r="E94" s="1228"/>
      <c r="F94" s="1228"/>
      <c r="G94" s="449">
        <f>2.5%*30%*(G16+G19+G20+G29+G58)</f>
        <v>0</v>
      </c>
      <c r="H94" s="449">
        <f>G94*$E$120</f>
        <v>0</v>
      </c>
      <c r="I94" s="449">
        <f>G94+H94</f>
        <v>0</v>
      </c>
      <c r="J94" s="450" t="e">
        <f>2.5%*30%*(J16+J19+J20+J29+J58)</f>
        <v>#REF!</v>
      </c>
      <c r="K94" s="450" t="e">
        <f>J94*$E$120</f>
        <v>#REF!</v>
      </c>
      <c r="L94" s="450" t="e">
        <f>J94+K94</f>
        <v>#REF!</v>
      </c>
      <c r="M94" s="451">
        <f>2.5%*30%*(M16+M19+M20+M29+M58)</f>
        <v>0</v>
      </c>
      <c r="N94" s="451">
        <f>M94*$E$120</f>
        <v>0</v>
      </c>
      <c r="O94" s="451">
        <f>M94+N94</f>
        <v>0</v>
      </c>
      <c r="P94" s="452" t="e">
        <f t="shared" si="70"/>
        <v>#REF!</v>
      </c>
      <c r="Q94" s="452" t="e">
        <f t="shared" si="70"/>
        <v>#REF!</v>
      </c>
      <c r="R94" s="453" t="e">
        <f t="shared" si="70"/>
        <v>#REF!</v>
      </c>
      <c r="S94" s="56"/>
      <c r="T94" s="599"/>
      <c r="U94" s="586"/>
    </row>
    <row r="95" spans="1:21" s="4" customFormat="1" ht="17.45" customHeight="1" x14ac:dyDescent="0.25">
      <c r="A95" s="13"/>
      <c r="B95" s="455" t="s">
        <v>55</v>
      </c>
      <c r="C95" s="1227" t="s">
        <v>1419</v>
      </c>
      <c r="D95" s="1222"/>
      <c r="E95" s="1222"/>
      <c r="F95" s="1222"/>
      <c r="G95" s="449">
        <f>SUM(G96:G100)</f>
        <v>0</v>
      </c>
      <c r="H95" s="449">
        <v>0</v>
      </c>
      <c r="I95" s="449">
        <f>G95+H95</f>
        <v>0</v>
      </c>
      <c r="J95" s="450" t="e">
        <f>SUM(J96:J100)</f>
        <v>#REF!</v>
      </c>
      <c r="K95" s="450">
        <v>0</v>
      </c>
      <c r="L95" s="450" t="e">
        <f>J95+K95</f>
        <v>#REF!</v>
      </c>
      <c r="M95" s="451">
        <f>SUM(M96:M100)</f>
        <v>0</v>
      </c>
      <c r="N95" s="451">
        <v>0</v>
      </c>
      <c r="O95" s="451">
        <f>M95+N95</f>
        <v>0</v>
      </c>
      <c r="P95" s="452" t="e">
        <f t="shared" si="70"/>
        <v>#REF!</v>
      </c>
      <c r="Q95" s="452">
        <f t="shared" si="70"/>
        <v>0</v>
      </c>
      <c r="R95" s="453" t="e">
        <f t="shared" si="70"/>
        <v>#REF!</v>
      </c>
      <c r="S95" s="53"/>
      <c r="T95" s="582"/>
      <c r="U95" s="583"/>
    </row>
    <row r="96" spans="1:21" s="4" customFormat="1" ht="17.45" customHeight="1" x14ac:dyDescent="0.25">
      <c r="A96" s="13"/>
      <c r="B96" s="454" t="s">
        <v>1409</v>
      </c>
      <c r="C96" s="1230" t="s">
        <v>1414</v>
      </c>
      <c r="D96" s="1230"/>
      <c r="E96" s="1230"/>
      <c r="F96" s="1230"/>
      <c r="G96" s="449">
        <v>0</v>
      </c>
      <c r="H96" s="449">
        <v>0</v>
      </c>
      <c r="I96" s="449">
        <f t="shared" ref="I96:I100" si="71">G96+H96</f>
        <v>0</v>
      </c>
      <c r="J96" s="450">
        <v>0</v>
      </c>
      <c r="K96" s="450">
        <v>0</v>
      </c>
      <c r="L96" s="450">
        <f t="shared" ref="L96:L100" si="72">J96+K96</f>
        <v>0</v>
      </c>
      <c r="M96" s="451">
        <v>0</v>
      </c>
      <c r="N96" s="451">
        <v>0</v>
      </c>
      <c r="O96" s="451">
        <f t="shared" ref="O96:O100" si="73">M96+N96</f>
        <v>0</v>
      </c>
      <c r="P96" s="452">
        <f t="shared" si="70"/>
        <v>0</v>
      </c>
      <c r="Q96" s="452">
        <f t="shared" si="70"/>
        <v>0</v>
      </c>
      <c r="R96" s="453">
        <f t="shared" si="70"/>
        <v>0</v>
      </c>
      <c r="S96" s="53"/>
      <c r="T96" s="582"/>
      <c r="U96" s="583"/>
    </row>
    <row r="97" spans="1:21" s="4" customFormat="1" ht="31.5" customHeight="1" x14ac:dyDescent="0.25">
      <c r="A97" s="13"/>
      <c r="B97" s="454" t="s">
        <v>1410</v>
      </c>
      <c r="C97" s="1226" t="s">
        <v>1418</v>
      </c>
      <c r="D97" s="1226"/>
      <c r="E97" s="1226"/>
      <c r="F97" s="1226"/>
      <c r="G97" s="449">
        <f>0.5%*(G16+G19+G20+G29+G58+G66+G93)</f>
        <v>0</v>
      </c>
      <c r="H97" s="449">
        <v>0</v>
      </c>
      <c r="I97" s="449">
        <f t="shared" si="71"/>
        <v>0</v>
      </c>
      <c r="J97" s="450" t="e">
        <f>0.5%*(J16+J19+J20+J29+J58+J66+J93)</f>
        <v>#REF!</v>
      </c>
      <c r="K97" s="450">
        <v>0</v>
      </c>
      <c r="L97" s="450" t="e">
        <f t="shared" si="72"/>
        <v>#REF!</v>
      </c>
      <c r="M97" s="451">
        <f>0.5%*(M16+M19+M20+M29+M58+M66+M93)</f>
        <v>0</v>
      </c>
      <c r="N97" s="451">
        <v>0</v>
      </c>
      <c r="O97" s="451">
        <f t="shared" si="73"/>
        <v>0</v>
      </c>
      <c r="P97" s="452" t="e">
        <f t="shared" si="70"/>
        <v>#REF!</v>
      </c>
      <c r="Q97" s="452">
        <f t="shared" si="70"/>
        <v>0</v>
      </c>
      <c r="R97" s="453" t="e">
        <f t="shared" si="70"/>
        <v>#REF!</v>
      </c>
      <c r="S97" s="53"/>
      <c r="T97" s="582"/>
      <c r="U97" s="583"/>
    </row>
    <row r="98" spans="1:21" s="4" customFormat="1" ht="32.25" customHeight="1" x14ac:dyDescent="0.25">
      <c r="A98" s="13"/>
      <c r="B98" s="454" t="s">
        <v>1411</v>
      </c>
      <c r="C98" s="1226" t="s">
        <v>1417</v>
      </c>
      <c r="D98" s="1226"/>
      <c r="E98" s="1226"/>
      <c r="F98" s="1226"/>
      <c r="G98" s="449">
        <f>0.1%*(G58+G93)</f>
        <v>0</v>
      </c>
      <c r="H98" s="449">
        <v>0</v>
      </c>
      <c r="I98" s="449">
        <f t="shared" si="71"/>
        <v>0</v>
      </c>
      <c r="J98" s="450" t="e">
        <f>0.1%*(J58+J93)</f>
        <v>#REF!</v>
      </c>
      <c r="K98" s="450">
        <v>0</v>
      </c>
      <c r="L98" s="450" t="e">
        <f t="shared" si="72"/>
        <v>#REF!</v>
      </c>
      <c r="M98" s="451">
        <f>0.1%*(M58+M93)</f>
        <v>0</v>
      </c>
      <c r="N98" s="451">
        <v>0</v>
      </c>
      <c r="O98" s="451">
        <f t="shared" si="73"/>
        <v>0</v>
      </c>
      <c r="P98" s="452" t="e">
        <f t="shared" si="70"/>
        <v>#REF!</v>
      </c>
      <c r="Q98" s="452">
        <f t="shared" si="70"/>
        <v>0</v>
      </c>
      <c r="R98" s="453" t="e">
        <f t="shared" si="70"/>
        <v>#REF!</v>
      </c>
      <c r="S98" s="53"/>
      <c r="T98" s="582"/>
      <c r="U98" s="583"/>
    </row>
    <row r="99" spans="1:21" s="4" customFormat="1" ht="15.75" customHeight="1" x14ac:dyDescent="0.25">
      <c r="A99" s="13"/>
      <c r="B99" s="454" t="s">
        <v>1412</v>
      </c>
      <c r="C99" s="1226" t="s">
        <v>1416</v>
      </c>
      <c r="D99" s="1226"/>
      <c r="E99" s="1226"/>
      <c r="F99" s="1226"/>
      <c r="G99" s="449">
        <f>0.5%*(G16+G19+G20+G29+G39+G50+G89)</f>
        <v>0</v>
      </c>
      <c r="H99" s="449">
        <v>0</v>
      </c>
      <c r="I99" s="449">
        <f t="shared" si="71"/>
        <v>0</v>
      </c>
      <c r="J99" s="450" t="e">
        <f>0.5%*(J16+J19+J20+J29+J39+J50+J89)</f>
        <v>#REF!</v>
      </c>
      <c r="K99" s="450">
        <v>0</v>
      </c>
      <c r="L99" s="450" t="e">
        <f t="shared" si="72"/>
        <v>#REF!</v>
      </c>
      <c r="M99" s="451">
        <f>0.5%*(M16+M19+M20+M29+M39+M50+M89)</f>
        <v>0</v>
      </c>
      <c r="N99" s="451">
        <v>0</v>
      </c>
      <c r="O99" s="451">
        <f t="shared" si="73"/>
        <v>0</v>
      </c>
      <c r="P99" s="452" t="e">
        <f t="shared" si="70"/>
        <v>#REF!</v>
      </c>
      <c r="Q99" s="452">
        <f t="shared" si="70"/>
        <v>0</v>
      </c>
      <c r="R99" s="453" t="e">
        <f t="shared" si="70"/>
        <v>#REF!</v>
      </c>
      <c r="S99" s="53"/>
      <c r="T99" s="582"/>
      <c r="U99" s="583"/>
    </row>
    <row r="100" spans="1:21" s="4" customFormat="1" ht="17.25" customHeight="1" x14ac:dyDescent="0.25">
      <c r="A100" s="13"/>
      <c r="B100" s="454" t="s">
        <v>1413</v>
      </c>
      <c r="C100" s="1226" t="s">
        <v>1415</v>
      </c>
      <c r="D100" s="1226"/>
      <c r="E100" s="1226"/>
      <c r="F100" s="1226"/>
      <c r="G100" s="449">
        <v>0</v>
      </c>
      <c r="H100" s="449">
        <v>0</v>
      </c>
      <c r="I100" s="449">
        <f t="shared" si="71"/>
        <v>0</v>
      </c>
      <c r="J100" s="450">
        <v>0</v>
      </c>
      <c r="K100" s="450">
        <v>0</v>
      </c>
      <c r="L100" s="450">
        <f t="shared" si="72"/>
        <v>0</v>
      </c>
      <c r="M100" s="451">
        <v>0</v>
      </c>
      <c r="N100" s="451">
        <v>0</v>
      </c>
      <c r="O100" s="451">
        <f t="shared" si="73"/>
        <v>0</v>
      </c>
      <c r="P100" s="452">
        <f t="shared" si="70"/>
        <v>0</v>
      </c>
      <c r="Q100" s="452">
        <f t="shared" si="70"/>
        <v>0</v>
      </c>
      <c r="R100" s="453">
        <f t="shared" si="70"/>
        <v>0</v>
      </c>
      <c r="S100" s="53"/>
      <c r="T100" s="582"/>
      <c r="U100" s="583"/>
    </row>
    <row r="101" spans="1:21" s="4" customFormat="1" ht="17.45" customHeight="1" x14ac:dyDescent="0.25">
      <c r="A101" s="1"/>
      <c r="B101" s="455" t="s">
        <v>56</v>
      </c>
      <c r="C101" s="1227" t="s">
        <v>57</v>
      </c>
      <c r="D101" s="1222"/>
      <c r="E101" s="1222"/>
      <c r="F101" s="1222"/>
      <c r="G101" s="466">
        <f>SUM(G102:G104)</f>
        <v>0</v>
      </c>
      <c r="H101" s="466">
        <f t="shared" ref="H101:O101" si="74">SUM(H102:H104)</f>
        <v>0</v>
      </c>
      <c r="I101" s="466">
        <f t="shared" si="74"/>
        <v>0</v>
      </c>
      <c r="J101" s="462" t="e">
        <f t="shared" si="74"/>
        <v>#REF!</v>
      </c>
      <c r="K101" s="462" t="e">
        <f t="shared" si="74"/>
        <v>#REF!</v>
      </c>
      <c r="L101" s="462" t="e">
        <f t="shared" si="74"/>
        <v>#REF!</v>
      </c>
      <c r="M101" s="463">
        <f t="shared" si="74"/>
        <v>0</v>
      </c>
      <c r="N101" s="463">
        <f t="shared" si="74"/>
        <v>0</v>
      </c>
      <c r="O101" s="463">
        <f t="shared" si="74"/>
        <v>0</v>
      </c>
      <c r="P101" s="464" t="e">
        <f t="shared" si="70"/>
        <v>#REF!</v>
      </c>
      <c r="Q101" s="464" t="e">
        <f t="shared" si="70"/>
        <v>#REF!</v>
      </c>
      <c r="R101" s="465" t="e">
        <f t="shared" si="70"/>
        <v>#REF!</v>
      </c>
      <c r="S101" s="53"/>
      <c r="T101" s="582"/>
      <c r="U101" s="583"/>
    </row>
    <row r="102" spans="1:21" s="4" customFormat="1" ht="17.45" customHeight="1" x14ac:dyDescent="0.25">
      <c r="A102" s="1"/>
      <c r="B102" s="454" t="s">
        <v>58</v>
      </c>
      <c r="C102" s="1228" t="s">
        <v>1420</v>
      </c>
      <c r="D102" s="1225"/>
      <c r="E102" s="1225"/>
      <c r="F102" s="1225"/>
      <c r="G102" s="449">
        <f>10%*(G16+G19+G20+G29+G39+G50+G89)</f>
        <v>0</v>
      </c>
      <c r="H102" s="449">
        <f t="shared" ref="H102:O102" si="75">10%*(H16+H19+H20+H29+H39+H50+H89)</f>
        <v>0</v>
      </c>
      <c r="I102" s="449">
        <f t="shared" si="75"/>
        <v>0</v>
      </c>
      <c r="J102" s="450" t="e">
        <f t="shared" si="75"/>
        <v>#REF!</v>
      </c>
      <c r="K102" s="450" t="e">
        <f t="shared" si="75"/>
        <v>#REF!</v>
      </c>
      <c r="L102" s="450" t="e">
        <f t="shared" si="75"/>
        <v>#REF!</v>
      </c>
      <c r="M102" s="451">
        <f t="shared" si="75"/>
        <v>0</v>
      </c>
      <c r="N102" s="451">
        <f t="shared" si="75"/>
        <v>0</v>
      </c>
      <c r="O102" s="451">
        <f t="shared" si="75"/>
        <v>0</v>
      </c>
      <c r="P102" s="452" t="e">
        <f t="shared" si="70"/>
        <v>#REF!</v>
      </c>
      <c r="Q102" s="452" t="e">
        <f t="shared" si="70"/>
        <v>#REF!</v>
      </c>
      <c r="R102" s="453" t="e">
        <f t="shared" si="70"/>
        <v>#REF!</v>
      </c>
      <c r="S102" s="53"/>
      <c r="T102" s="582"/>
      <c r="U102" s="583"/>
    </row>
    <row r="103" spans="1:21" s="4" customFormat="1" ht="17.45" hidden="1" customHeight="1" x14ac:dyDescent="0.3">
      <c r="A103" s="1"/>
      <c r="B103" s="454" t="s">
        <v>60</v>
      </c>
      <c r="C103" s="1214" t="s">
        <v>59</v>
      </c>
      <c r="D103" s="1215"/>
      <c r="E103" s="1215"/>
      <c r="F103" s="1215"/>
      <c r="G103" s="449"/>
      <c r="H103" s="449"/>
      <c r="I103" s="449"/>
      <c r="J103" s="450"/>
      <c r="K103" s="450"/>
      <c r="L103" s="450"/>
      <c r="M103" s="451"/>
      <c r="N103" s="451"/>
      <c r="O103" s="451"/>
      <c r="P103" s="452"/>
      <c r="Q103" s="452"/>
      <c r="R103" s="453"/>
      <c r="S103" s="53"/>
      <c r="T103" s="582"/>
      <c r="U103" s="583"/>
    </row>
    <row r="104" spans="1:21" s="4" customFormat="1" ht="17.45" hidden="1" customHeight="1" thickBot="1" x14ac:dyDescent="0.35">
      <c r="A104" s="1"/>
      <c r="B104" s="454" t="s">
        <v>60</v>
      </c>
      <c r="C104" s="1214" t="s">
        <v>78</v>
      </c>
      <c r="D104" s="1215"/>
      <c r="E104" s="1215"/>
      <c r="F104" s="1215"/>
      <c r="G104" s="449"/>
      <c r="H104" s="449"/>
      <c r="I104" s="449"/>
      <c r="J104" s="450"/>
      <c r="K104" s="450"/>
      <c r="L104" s="450"/>
      <c r="M104" s="451"/>
      <c r="N104" s="451"/>
      <c r="O104" s="451"/>
      <c r="P104" s="452"/>
      <c r="Q104" s="452"/>
      <c r="R104" s="453"/>
      <c r="S104" s="53"/>
      <c r="T104" s="582"/>
      <c r="U104" s="583"/>
    </row>
    <row r="105" spans="1:21" ht="17.45" customHeight="1" thickBot="1" x14ac:dyDescent="0.3">
      <c r="A105" s="1"/>
      <c r="B105" s="1216" t="s">
        <v>61</v>
      </c>
      <c r="C105" s="1217"/>
      <c r="D105" s="1217"/>
      <c r="E105" s="1217"/>
      <c r="F105" s="1217"/>
      <c r="G105" s="509">
        <f>G92+G95+G101</f>
        <v>0</v>
      </c>
      <c r="H105" s="509">
        <f t="shared" ref="H105:R105" si="76">H92+H95+H101</f>
        <v>0</v>
      </c>
      <c r="I105" s="509">
        <f t="shared" si="76"/>
        <v>0</v>
      </c>
      <c r="J105" s="509" t="e">
        <f t="shared" si="76"/>
        <v>#REF!</v>
      </c>
      <c r="K105" s="509" t="e">
        <f t="shared" si="76"/>
        <v>#REF!</v>
      </c>
      <c r="L105" s="509" t="e">
        <f t="shared" si="76"/>
        <v>#REF!</v>
      </c>
      <c r="M105" s="509">
        <f t="shared" si="76"/>
        <v>0</v>
      </c>
      <c r="N105" s="509">
        <f t="shared" si="76"/>
        <v>0</v>
      </c>
      <c r="O105" s="509">
        <f t="shared" si="76"/>
        <v>0</v>
      </c>
      <c r="P105" s="509" t="e">
        <f t="shared" si="76"/>
        <v>#REF!</v>
      </c>
      <c r="Q105" s="509" t="e">
        <f t="shared" si="76"/>
        <v>#REF!</v>
      </c>
      <c r="R105" s="510" t="e">
        <f t="shared" si="76"/>
        <v>#REF!</v>
      </c>
      <c r="S105" s="53"/>
      <c r="T105" s="582" t="e">
        <f>R105/P105</f>
        <v>#REF!</v>
      </c>
      <c r="U105" s="583">
        <v>1.1758330139526201</v>
      </c>
    </row>
    <row r="106" spans="1:21" ht="17.45" customHeight="1" x14ac:dyDescent="0.25">
      <c r="A106" s="1"/>
      <c r="B106" s="1218" t="s">
        <v>1425</v>
      </c>
      <c r="C106" s="1219"/>
      <c r="D106" s="1219"/>
      <c r="E106" s="1219"/>
      <c r="F106" s="1219"/>
      <c r="G106" s="1219"/>
      <c r="H106" s="1219"/>
      <c r="I106" s="1219"/>
      <c r="J106" s="1219"/>
      <c r="K106" s="1219"/>
      <c r="L106" s="1219"/>
      <c r="M106" s="1219"/>
      <c r="N106" s="1219"/>
      <c r="O106" s="1219"/>
      <c r="P106" s="1219"/>
      <c r="Q106" s="1219"/>
      <c r="R106" s="1220"/>
      <c r="S106" s="53"/>
    </row>
    <row r="107" spans="1:21" ht="17.45" customHeight="1" x14ac:dyDescent="0.25">
      <c r="A107" s="1"/>
      <c r="B107" s="1221" t="s">
        <v>1322</v>
      </c>
      <c r="C107" s="1222"/>
      <c r="D107" s="1222"/>
      <c r="E107" s="1222"/>
      <c r="F107" s="1222"/>
      <c r="G107" s="1222"/>
      <c r="H107" s="1222"/>
      <c r="I107" s="1222"/>
      <c r="J107" s="1222"/>
      <c r="K107" s="1222"/>
      <c r="L107" s="1222"/>
      <c r="M107" s="1222"/>
      <c r="N107" s="1222"/>
      <c r="O107" s="1222"/>
      <c r="P107" s="1222"/>
      <c r="Q107" s="1222"/>
      <c r="R107" s="1223"/>
      <c r="S107" s="53"/>
    </row>
    <row r="108" spans="1:21" ht="17.45" customHeight="1" x14ac:dyDescent="0.25">
      <c r="A108" s="1"/>
      <c r="B108" s="455" t="s">
        <v>62</v>
      </c>
      <c r="C108" s="1224" t="s">
        <v>63</v>
      </c>
      <c r="D108" s="1225"/>
      <c r="E108" s="1225"/>
      <c r="F108" s="1225"/>
      <c r="G108" s="449">
        <v>0</v>
      </c>
      <c r="H108" s="449">
        <f>G108*$E$120</f>
        <v>0</v>
      </c>
      <c r="I108" s="449">
        <f>G108+H108</f>
        <v>0</v>
      </c>
      <c r="J108" s="450">
        <v>500</v>
      </c>
      <c r="K108" s="450">
        <f>J108*$E$120</f>
        <v>95</v>
      </c>
      <c r="L108" s="450">
        <f>J108+K108</f>
        <v>595</v>
      </c>
      <c r="M108" s="451">
        <v>0</v>
      </c>
      <c r="N108" s="451">
        <f>M108*$E$120</f>
        <v>0</v>
      </c>
      <c r="O108" s="451">
        <f>M108+N108</f>
        <v>0</v>
      </c>
      <c r="P108" s="452">
        <f t="shared" ref="P108:R109" si="77">G108+M108+J108</f>
        <v>500</v>
      </c>
      <c r="Q108" s="452">
        <f t="shared" si="77"/>
        <v>95</v>
      </c>
      <c r="R108" s="453">
        <f t="shared" si="77"/>
        <v>595</v>
      </c>
      <c r="S108" s="53"/>
    </row>
    <row r="109" spans="1:21" ht="17.45" customHeight="1" x14ac:dyDescent="0.25">
      <c r="A109" s="1"/>
      <c r="B109" s="447" t="s">
        <v>64</v>
      </c>
      <c r="C109" s="1225" t="s">
        <v>65</v>
      </c>
      <c r="D109" s="1225"/>
      <c r="E109" s="1225"/>
      <c r="F109" s="1225"/>
      <c r="G109" s="449">
        <v>0</v>
      </c>
      <c r="H109" s="449">
        <f>G109*$E$120</f>
        <v>0</v>
      </c>
      <c r="I109" s="449">
        <f>G109+H109</f>
        <v>0</v>
      </c>
      <c r="J109" s="450" t="e">
        <f>2.5%*J75</f>
        <v>#REF!</v>
      </c>
      <c r="K109" s="450" t="e">
        <f>J109*$E$120</f>
        <v>#REF!</v>
      </c>
      <c r="L109" s="450" t="e">
        <f>J109+K109</f>
        <v>#REF!</v>
      </c>
      <c r="M109" s="451">
        <f>5%*M75</f>
        <v>0</v>
      </c>
      <c r="N109" s="451">
        <f>M109*$E$120</f>
        <v>0</v>
      </c>
      <c r="O109" s="451">
        <f>M109+N109</f>
        <v>0</v>
      </c>
      <c r="P109" s="452" t="e">
        <f t="shared" si="77"/>
        <v>#REF!</v>
      </c>
      <c r="Q109" s="452" t="e">
        <f t="shared" si="77"/>
        <v>#REF!</v>
      </c>
      <c r="R109" s="453" t="e">
        <f t="shared" si="77"/>
        <v>#REF!</v>
      </c>
      <c r="S109" s="53"/>
    </row>
    <row r="110" spans="1:21" ht="17.45" customHeight="1" thickBot="1" x14ac:dyDescent="0.3">
      <c r="A110" s="1"/>
      <c r="B110" s="1204" t="s">
        <v>66</v>
      </c>
      <c r="C110" s="1205"/>
      <c r="D110" s="1205"/>
      <c r="E110" s="1205"/>
      <c r="F110" s="1205"/>
      <c r="G110" s="509">
        <f>G108+G109</f>
        <v>0</v>
      </c>
      <c r="H110" s="509">
        <f t="shared" ref="H110:O110" si="78">H108+H109</f>
        <v>0</v>
      </c>
      <c r="I110" s="509">
        <f t="shared" si="78"/>
        <v>0</v>
      </c>
      <c r="J110" s="509" t="e">
        <f t="shared" si="78"/>
        <v>#REF!</v>
      </c>
      <c r="K110" s="509" t="e">
        <f t="shared" si="78"/>
        <v>#REF!</v>
      </c>
      <c r="L110" s="509" t="e">
        <f t="shared" si="78"/>
        <v>#REF!</v>
      </c>
      <c r="M110" s="509">
        <f t="shared" si="78"/>
        <v>0</v>
      </c>
      <c r="N110" s="509">
        <f t="shared" si="78"/>
        <v>0</v>
      </c>
      <c r="O110" s="509">
        <f t="shared" si="78"/>
        <v>0</v>
      </c>
      <c r="P110" s="509" t="e">
        <f>SUM(P108:P109)</f>
        <v>#REF!</v>
      </c>
      <c r="Q110" s="509" t="e">
        <f>SUM(Q108:Q109)</f>
        <v>#REF!</v>
      </c>
      <c r="R110" s="510" t="e">
        <f>SUM(R108:R109)</f>
        <v>#REF!</v>
      </c>
      <c r="S110" s="53"/>
      <c r="T110" s="582" t="e">
        <f>R110/P110</f>
        <v>#REF!</v>
      </c>
    </row>
    <row r="111" spans="1:21" ht="17.45" customHeight="1" x14ac:dyDescent="0.25">
      <c r="A111" s="1"/>
      <c r="B111" s="1206" t="s">
        <v>67</v>
      </c>
      <c r="C111" s="1207"/>
      <c r="D111" s="1207"/>
      <c r="E111" s="1207"/>
      <c r="F111" s="1207"/>
      <c r="G111" s="517">
        <f t="shared" ref="G111:I111" si="79">G21+G29+G55+G89+G105+G110</f>
        <v>0</v>
      </c>
      <c r="H111" s="517">
        <f t="shared" si="79"/>
        <v>0</v>
      </c>
      <c r="I111" s="517">
        <f t="shared" si="79"/>
        <v>0</v>
      </c>
      <c r="J111" s="517" t="e">
        <f>J21+J29+J55+J89+J105+J110</f>
        <v>#REF!</v>
      </c>
      <c r="K111" s="517" t="e">
        <f t="shared" ref="K111:R111" si="80">K21+K29+K55+K89+K105+K110</f>
        <v>#REF!</v>
      </c>
      <c r="L111" s="517" t="e">
        <f t="shared" si="80"/>
        <v>#REF!</v>
      </c>
      <c r="M111" s="517">
        <f t="shared" si="80"/>
        <v>0</v>
      </c>
      <c r="N111" s="517">
        <f t="shared" si="80"/>
        <v>0</v>
      </c>
      <c r="O111" s="517">
        <f t="shared" si="80"/>
        <v>0</v>
      </c>
      <c r="P111" s="517" t="e">
        <f t="shared" si="80"/>
        <v>#REF!</v>
      </c>
      <c r="Q111" s="517" t="e">
        <f t="shared" si="80"/>
        <v>#REF!</v>
      </c>
      <c r="R111" s="518" t="e">
        <f t="shared" si="80"/>
        <v>#REF!</v>
      </c>
      <c r="S111" s="53"/>
      <c r="U111" s="600"/>
    </row>
    <row r="112" spans="1:21" ht="17.45" customHeight="1" x14ac:dyDescent="0.25">
      <c r="A112" s="1"/>
      <c r="B112" s="1208" t="s">
        <v>1424</v>
      </c>
      <c r="C112" s="1209"/>
      <c r="D112" s="1209"/>
      <c r="E112" s="1209"/>
      <c r="F112" s="1209"/>
      <c r="G112" s="456">
        <f t="shared" ref="G112:I112" si="81">G16+G19+G20+G29+G58+G66+G93</f>
        <v>0</v>
      </c>
      <c r="H112" s="456">
        <f t="shared" si="81"/>
        <v>0</v>
      </c>
      <c r="I112" s="456">
        <f t="shared" si="81"/>
        <v>0</v>
      </c>
      <c r="J112" s="456" t="e">
        <f>J16+J19+J20+J29+J58+J66+J93</f>
        <v>#REF!</v>
      </c>
      <c r="K112" s="456" t="e">
        <f t="shared" ref="K112:R112" si="82">K16+K19+K20+K29+K58+K66+K93</f>
        <v>#REF!</v>
      </c>
      <c r="L112" s="456" t="e">
        <f t="shared" si="82"/>
        <v>#REF!</v>
      </c>
      <c r="M112" s="456">
        <f t="shared" si="82"/>
        <v>0</v>
      </c>
      <c r="N112" s="456">
        <f t="shared" si="82"/>
        <v>0</v>
      </c>
      <c r="O112" s="456">
        <f t="shared" si="82"/>
        <v>0</v>
      </c>
      <c r="P112" s="456" t="e">
        <f t="shared" si="82"/>
        <v>#REF!</v>
      </c>
      <c r="Q112" s="456" t="e">
        <f t="shared" si="82"/>
        <v>#REF!</v>
      </c>
      <c r="R112" s="519" t="e">
        <f t="shared" si="82"/>
        <v>#REF!</v>
      </c>
      <c r="S112" s="53"/>
    </row>
    <row r="113" spans="1:21" s="186" customFormat="1" ht="35.1" customHeight="1" x14ac:dyDescent="0.25">
      <c r="A113" s="1"/>
      <c r="B113" s="1210" t="s">
        <v>1445</v>
      </c>
      <c r="C113" s="1211"/>
      <c r="D113" s="1211"/>
      <c r="E113" s="1211"/>
      <c r="F113" s="1211"/>
      <c r="G113" s="516">
        <v>0</v>
      </c>
      <c r="H113" s="449">
        <v>0</v>
      </c>
      <c r="I113" s="449">
        <f>G113+H113</f>
        <v>0</v>
      </c>
      <c r="J113" s="450">
        <f>'DG-cap3'!G19</f>
        <v>30000</v>
      </c>
      <c r="K113" s="450">
        <f>J113*0.19</f>
        <v>5700</v>
      </c>
      <c r="L113" s="450">
        <f>J113+K113</f>
        <v>35700</v>
      </c>
      <c r="M113" s="458">
        <v>0</v>
      </c>
      <c r="N113" s="451">
        <v>0</v>
      </c>
      <c r="O113" s="451">
        <f>M113+N113</f>
        <v>0</v>
      </c>
      <c r="P113" s="452">
        <f t="shared" ref="P113:R116" si="83">G113+M113+J113</f>
        <v>30000</v>
      </c>
      <c r="Q113" s="452">
        <f t="shared" si="83"/>
        <v>5700</v>
      </c>
      <c r="R113" s="453">
        <f t="shared" si="83"/>
        <v>35700</v>
      </c>
      <c r="S113" s="55"/>
      <c r="T113" s="598"/>
      <c r="U113" s="594"/>
    </row>
    <row r="114" spans="1:21" ht="35.1" customHeight="1" x14ac:dyDescent="0.25">
      <c r="B114" s="1210" t="s">
        <v>1512</v>
      </c>
      <c r="C114" s="1211"/>
      <c r="D114" s="1211"/>
      <c r="E114" s="1211"/>
      <c r="F114" s="1211"/>
      <c r="G114" s="516"/>
      <c r="H114" s="449"/>
      <c r="I114" s="449"/>
      <c r="J114" s="457">
        <f>'DG-cap3'!G14</f>
        <v>12000</v>
      </c>
      <c r="K114" s="457">
        <f>J114*0.19</f>
        <v>2280</v>
      </c>
      <c r="L114" s="457">
        <f>J114+K114</f>
        <v>14280</v>
      </c>
      <c r="M114" s="458"/>
      <c r="N114" s="458"/>
      <c r="O114" s="458"/>
      <c r="P114" s="452">
        <f t="shared" si="83"/>
        <v>12000</v>
      </c>
      <c r="Q114" s="452">
        <f t="shared" si="83"/>
        <v>2280</v>
      </c>
      <c r="R114" s="453">
        <f t="shared" si="83"/>
        <v>14280</v>
      </c>
    </row>
    <row r="115" spans="1:21" ht="17.45" customHeight="1" x14ac:dyDescent="0.25">
      <c r="B115" s="1212" t="s">
        <v>79</v>
      </c>
      <c r="C115" s="1213"/>
      <c r="D115" s="1213"/>
      <c r="E115" s="1213"/>
      <c r="F115" s="1213"/>
      <c r="G115" s="459">
        <f t="shared" ref="G115:O115" si="84">G111-SUM(G113:G114)</f>
        <v>0</v>
      </c>
      <c r="H115" s="459">
        <f t="shared" si="84"/>
        <v>0</v>
      </c>
      <c r="I115" s="459">
        <f t="shared" si="84"/>
        <v>0</v>
      </c>
      <c r="J115" s="459" t="e">
        <f t="shared" si="84"/>
        <v>#REF!</v>
      </c>
      <c r="K115" s="459" t="e">
        <f t="shared" si="84"/>
        <v>#REF!</v>
      </c>
      <c r="L115" s="459" t="e">
        <f t="shared" si="84"/>
        <v>#REF!</v>
      </c>
      <c r="M115" s="459">
        <f t="shared" si="84"/>
        <v>0</v>
      </c>
      <c r="N115" s="459">
        <f t="shared" si="84"/>
        <v>0</v>
      </c>
      <c r="O115" s="459">
        <f t="shared" si="84"/>
        <v>0</v>
      </c>
      <c r="P115" s="459" t="e">
        <f t="shared" si="83"/>
        <v>#REF!</v>
      </c>
      <c r="Q115" s="459" t="e">
        <f t="shared" si="83"/>
        <v>#REF!</v>
      </c>
      <c r="R115" s="520" t="e">
        <f t="shared" si="83"/>
        <v>#REF!</v>
      </c>
    </row>
    <row r="116" spans="1:21" ht="17.45" customHeight="1" thickBot="1" x14ac:dyDescent="0.3">
      <c r="B116" s="1202" t="s">
        <v>80</v>
      </c>
      <c r="C116" s="1203"/>
      <c r="D116" s="1203"/>
      <c r="E116" s="1203"/>
      <c r="F116" s="1203"/>
      <c r="G116" s="460">
        <f>G112</f>
        <v>0</v>
      </c>
      <c r="H116" s="460">
        <f t="shared" ref="H116:I116" si="85">H112</f>
        <v>0</v>
      </c>
      <c r="I116" s="460">
        <f t="shared" si="85"/>
        <v>0</v>
      </c>
      <c r="J116" s="460" t="e">
        <f>J112</f>
        <v>#REF!</v>
      </c>
      <c r="K116" s="460" t="e">
        <f t="shared" ref="K116:L116" si="86">K112</f>
        <v>#REF!</v>
      </c>
      <c r="L116" s="460" t="e">
        <f t="shared" si="86"/>
        <v>#REF!</v>
      </c>
      <c r="M116" s="460">
        <f>M112</f>
        <v>0</v>
      </c>
      <c r="N116" s="460">
        <f t="shared" ref="N116:O116" si="87">N112</f>
        <v>0</v>
      </c>
      <c r="O116" s="460">
        <f t="shared" si="87"/>
        <v>0</v>
      </c>
      <c r="P116" s="460" t="e">
        <f t="shared" si="83"/>
        <v>#REF!</v>
      </c>
      <c r="Q116" s="460" t="e">
        <f t="shared" si="83"/>
        <v>#REF!</v>
      </c>
      <c r="R116" s="521" t="e">
        <f t="shared" si="83"/>
        <v>#REF!</v>
      </c>
    </row>
    <row r="117" spans="1:21" x14ac:dyDescent="0.25">
      <c r="B117" s="47"/>
      <c r="C117" s="48"/>
      <c r="D117" s="48"/>
      <c r="E117" s="48"/>
      <c r="F117" s="48"/>
      <c r="G117" s="49"/>
      <c r="H117" s="49"/>
      <c r="I117" s="49"/>
      <c r="J117" s="49"/>
      <c r="K117" s="49"/>
      <c r="L117" s="49"/>
      <c r="M117" s="49"/>
      <c r="N117" s="49"/>
      <c r="O117" s="49"/>
      <c r="P117" s="50"/>
      <c r="Q117" s="50"/>
      <c r="R117" s="50"/>
    </row>
    <row r="118" spans="1:21" x14ac:dyDescent="0.25">
      <c r="B118" s="3"/>
      <c r="C118" s="185"/>
      <c r="D118" s="444" t="s">
        <v>1297</v>
      </c>
      <c r="E118" s="444">
        <f>'DG-cap3'!D34</f>
        <v>43692</v>
      </c>
      <c r="G118" s="53"/>
      <c r="H118" s="49"/>
      <c r="I118" s="49"/>
      <c r="J118" s="49"/>
      <c r="K118" s="49"/>
      <c r="L118" s="49"/>
      <c r="M118" s="49"/>
      <c r="N118" s="49"/>
      <c r="O118" s="49"/>
      <c r="P118" s="50"/>
      <c r="Q118" s="50"/>
      <c r="R118" s="50"/>
    </row>
    <row r="119" spans="1:21" x14ac:dyDescent="0.25">
      <c r="B119" s="3"/>
      <c r="C119" s="185"/>
      <c r="D119" s="445" t="s">
        <v>1298</v>
      </c>
      <c r="E119" s="444">
        <f>'DG-cap3'!D35</f>
        <v>4.7317</v>
      </c>
      <c r="F119" s="48" t="s">
        <v>1295</v>
      </c>
      <c r="G119" s="53"/>
      <c r="H119" s="49"/>
      <c r="I119" s="49"/>
      <c r="J119" s="49"/>
      <c r="K119" s="49"/>
      <c r="L119" s="49"/>
      <c r="M119" s="49"/>
      <c r="N119" s="49"/>
      <c r="O119" s="49"/>
      <c r="P119" s="50"/>
      <c r="Q119" s="50"/>
      <c r="R119" s="60" t="s">
        <v>82</v>
      </c>
    </row>
    <row r="120" spans="1:21" x14ac:dyDescent="0.25">
      <c r="B120" s="184"/>
      <c r="C120" s="185"/>
      <c r="D120" s="48" t="s">
        <v>1301</v>
      </c>
      <c r="E120" s="446">
        <v>0.19</v>
      </c>
      <c r="F120" s="48"/>
      <c r="G120" s="49"/>
      <c r="H120" s="49"/>
      <c r="I120" s="49"/>
      <c r="J120" s="49"/>
      <c r="K120" s="49"/>
      <c r="L120" s="49"/>
      <c r="M120" s="49"/>
      <c r="N120" s="49"/>
      <c r="O120" s="49"/>
      <c r="P120" s="50"/>
      <c r="Q120" s="50"/>
      <c r="R120" s="61" t="s">
        <v>1448</v>
      </c>
    </row>
    <row r="121" spans="1:21" x14ac:dyDescent="0.25">
      <c r="B121" s="184"/>
      <c r="C121" s="185"/>
      <c r="D121" s="48"/>
      <c r="E121" s="48"/>
      <c r="F121" s="48"/>
      <c r="G121" s="49"/>
      <c r="H121" s="49"/>
      <c r="I121" s="49"/>
      <c r="J121" s="49"/>
      <c r="K121" s="49"/>
      <c r="L121" s="49"/>
      <c r="M121" s="49"/>
      <c r="N121" s="49"/>
      <c r="O121" s="49"/>
      <c r="P121" s="50"/>
      <c r="Q121" s="50"/>
      <c r="R121" s="61"/>
    </row>
    <row r="122" spans="1:21" x14ac:dyDescent="0.25">
      <c r="B122" s="184"/>
      <c r="C122" s="185"/>
      <c r="D122" s="48"/>
      <c r="E122" s="48"/>
      <c r="F122" s="48"/>
      <c r="G122" s="49"/>
      <c r="H122" s="49"/>
      <c r="I122" s="49"/>
      <c r="J122" s="49"/>
      <c r="K122" s="49"/>
      <c r="L122" s="49"/>
      <c r="M122" s="49"/>
      <c r="N122" s="49"/>
      <c r="O122" s="49"/>
      <c r="P122" s="50"/>
      <c r="Q122" s="50"/>
      <c r="R122" s="60" t="s">
        <v>1446</v>
      </c>
    </row>
    <row r="123" spans="1:21" x14ac:dyDescent="0.25">
      <c r="B123" s="184"/>
      <c r="C123" s="185"/>
      <c r="D123" s="48"/>
      <c r="E123" s="48"/>
      <c r="F123" s="48"/>
      <c r="G123" s="49"/>
      <c r="H123" s="49"/>
      <c r="I123" s="49"/>
      <c r="J123" s="49"/>
      <c r="K123" s="49"/>
      <c r="L123" s="49"/>
      <c r="M123" s="49"/>
      <c r="N123" s="49"/>
      <c r="O123" s="49"/>
      <c r="P123" s="50"/>
      <c r="Q123" s="50"/>
      <c r="R123" s="61" t="s">
        <v>83</v>
      </c>
    </row>
    <row r="124" spans="1:21" x14ac:dyDescent="0.25">
      <c r="B124" s="184"/>
      <c r="D124" s="48"/>
      <c r="E124" s="48"/>
      <c r="F124" s="48"/>
      <c r="G124" s="49"/>
      <c r="H124" s="49"/>
      <c r="I124" s="49"/>
      <c r="J124" s="49"/>
      <c r="K124" s="49"/>
      <c r="L124" s="49"/>
      <c r="M124" s="49"/>
      <c r="N124" s="49"/>
      <c r="O124" s="49"/>
      <c r="P124" s="50"/>
      <c r="Q124" s="50"/>
      <c r="R124" s="61" t="s">
        <v>1447</v>
      </c>
    </row>
    <row r="125" spans="1:21" x14ac:dyDescent="0.25">
      <c r="B125" s="184"/>
      <c r="D125" s="48"/>
      <c r="E125" s="48"/>
      <c r="F125" s="482"/>
      <c r="G125" s="483"/>
      <c r="H125" s="483"/>
      <c r="I125" s="483"/>
      <c r="J125" s="49"/>
      <c r="K125" s="49"/>
      <c r="L125" s="49"/>
      <c r="M125" s="49"/>
      <c r="N125" s="49"/>
      <c r="O125" s="49"/>
      <c r="P125" s="50"/>
      <c r="Q125" s="50"/>
      <c r="R125" s="50"/>
    </row>
    <row r="126" spans="1:21" x14ac:dyDescent="0.25">
      <c r="B126" s="522"/>
      <c r="C126" s="206"/>
      <c r="D126" s="206"/>
      <c r="E126" s="48"/>
      <c r="F126" s="482"/>
      <c r="G126" s="484"/>
      <c r="H126" s="483"/>
      <c r="I126" s="483"/>
      <c r="J126" s="49"/>
      <c r="K126" s="49"/>
      <c r="L126" s="49"/>
      <c r="M126" s="49"/>
      <c r="N126" s="49"/>
      <c r="O126" s="49"/>
      <c r="P126" s="50"/>
      <c r="Q126" s="50"/>
      <c r="R126" s="50"/>
    </row>
    <row r="127" spans="1:21" x14ac:dyDescent="0.25">
      <c r="B127" s="208"/>
      <c r="C127" s="206"/>
      <c r="D127" s="206"/>
      <c r="E127" s="48"/>
      <c r="F127" s="482"/>
      <c r="G127" s="484"/>
      <c r="H127" s="483"/>
      <c r="I127" s="483"/>
      <c r="J127" s="49"/>
      <c r="K127" s="49"/>
      <c r="L127" s="49"/>
      <c r="M127" s="49"/>
      <c r="N127" s="49"/>
      <c r="O127" s="49"/>
      <c r="P127" s="50"/>
      <c r="Q127" s="50"/>
      <c r="R127" s="50"/>
    </row>
    <row r="128" spans="1:21" x14ac:dyDescent="0.25">
      <c r="B128" s="293"/>
      <c r="C128" s="207"/>
      <c r="D128" s="48"/>
      <c r="E128" s="48"/>
      <c r="F128" s="482"/>
      <c r="G128" s="485"/>
      <c r="H128" s="486"/>
      <c r="I128" s="487"/>
      <c r="J128" s="49"/>
      <c r="K128" s="49"/>
      <c r="L128" s="49"/>
      <c r="M128" s="49"/>
      <c r="N128" s="49"/>
      <c r="O128" s="49"/>
      <c r="P128" s="50"/>
      <c r="Q128" s="50"/>
      <c r="R128" s="50"/>
    </row>
    <row r="129" spans="2:18" x14ac:dyDescent="0.25">
      <c r="B129" s="293"/>
      <c r="C129" s="207"/>
      <c r="D129" s="48"/>
      <c r="E129" s="48"/>
      <c r="F129" s="482"/>
      <c r="G129" s="485"/>
      <c r="H129" s="488"/>
      <c r="I129" s="489"/>
      <c r="J129" s="49"/>
      <c r="K129" s="49"/>
      <c r="L129" s="49"/>
      <c r="M129" s="49"/>
      <c r="N129" s="49"/>
      <c r="O129" s="49"/>
      <c r="P129" s="50"/>
      <c r="Q129" s="50"/>
      <c r="R129" s="50"/>
    </row>
    <row r="130" spans="2:18" x14ac:dyDescent="0.25">
      <c r="B130" s="293"/>
      <c r="C130" s="207"/>
      <c r="D130" s="48"/>
      <c r="E130" s="48"/>
      <c r="F130" s="482"/>
      <c r="G130" s="483"/>
      <c r="H130" s="483"/>
      <c r="I130" s="483"/>
      <c r="J130" s="49"/>
      <c r="K130" s="49"/>
      <c r="L130" s="49"/>
      <c r="M130" s="49"/>
      <c r="N130" s="49"/>
      <c r="O130" s="49"/>
      <c r="P130" s="50"/>
      <c r="Q130" s="50"/>
      <c r="R130" s="50"/>
    </row>
    <row r="131" spans="2:18" x14ac:dyDescent="0.25">
      <c r="B131" s="47"/>
      <c r="C131" s="48"/>
      <c r="D131" s="48"/>
      <c r="E131" s="48"/>
      <c r="F131" s="482"/>
      <c r="G131" s="483"/>
      <c r="H131" s="483"/>
      <c r="I131" s="483"/>
      <c r="J131" s="49"/>
      <c r="K131" s="49"/>
      <c r="L131" s="49"/>
      <c r="M131" s="49"/>
      <c r="N131" s="49"/>
      <c r="O131" s="49"/>
      <c r="P131" s="50"/>
      <c r="Q131" s="50"/>
      <c r="R131" s="50"/>
    </row>
    <row r="132" spans="2:18" x14ac:dyDescent="0.25">
      <c r="B132" s="47"/>
      <c r="C132" s="48"/>
      <c r="D132" s="48"/>
      <c r="E132" s="48"/>
      <c r="F132" s="482"/>
      <c r="G132" s="483"/>
      <c r="H132" s="483"/>
      <c r="I132" s="483"/>
      <c r="J132" s="49"/>
      <c r="K132" s="49"/>
      <c r="L132" s="49"/>
      <c r="M132" s="49"/>
      <c r="N132" s="49"/>
      <c r="O132" s="49"/>
      <c r="P132" s="50"/>
      <c r="Q132" s="50"/>
      <c r="R132" s="50"/>
    </row>
    <row r="133" spans="2:18" x14ac:dyDescent="0.25">
      <c r="B133" s="47"/>
      <c r="C133" s="48"/>
      <c r="D133" s="48"/>
      <c r="E133" s="48"/>
      <c r="F133" s="48"/>
      <c r="G133" s="49"/>
      <c r="H133" s="49"/>
      <c r="I133" s="49"/>
      <c r="J133" s="49"/>
      <c r="K133" s="49"/>
      <c r="L133" s="49"/>
      <c r="M133" s="49"/>
      <c r="N133" s="49"/>
      <c r="O133" s="49"/>
      <c r="P133" s="50"/>
      <c r="Q133" s="50"/>
      <c r="R133" s="50"/>
    </row>
    <row r="134" spans="2:18" x14ac:dyDescent="0.25">
      <c r="B134" s="47"/>
      <c r="C134" s="48"/>
      <c r="D134" s="48"/>
      <c r="E134" s="48"/>
      <c r="F134" s="48"/>
      <c r="G134" s="49"/>
      <c r="H134" s="49"/>
      <c r="I134" s="49"/>
      <c r="J134" s="49"/>
      <c r="K134" s="49"/>
      <c r="L134" s="49"/>
      <c r="M134" s="49"/>
      <c r="N134" s="49"/>
      <c r="O134" s="49"/>
      <c r="P134" s="50"/>
      <c r="Q134" s="50"/>
      <c r="R134" s="50"/>
    </row>
    <row r="135" spans="2:18" x14ac:dyDescent="0.25">
      <c r="B135" s="47"/>
      <c r="C135" s="48"/>
      <c r="D135" s="48"/>
      <c r="E135" s="48"/>
      <c r="F135" s="48"/>
      <c r="G135" s="49"/>
      <c r="H135" s="49"/>
      <c r="I135" s="49"/>
      <c r="J135" s="49"/>
      <c r="K135" s="49"/>
      <c r="L135" s="49"/>
      <c r="M135" s="49"/>
      <c r="N135" s="49"/>
      <c r="O135" s="49"/>
      <c r="P135" s="50"/>
      <c r="Q135" s="50"/>
      <c r="R135" s="50"/>
    </row>
    <row r="136" spans="2:18" x14ac:dyDescent="0.25">
      <c r="B136" s="47"/>
      <c r="C136" s="48"/>
      <c r="D136" s="48"/>
      <c r="E136" s="48"/>
      <c r="F136" s="48"/>
      <c r="G136" s="49"/>
      <c r="H136" s="49"/>
      <c r="I136" s="49"/>
      <c r="J136" s="49"/>
      <c r="K136" s="49"/>
      <c r="L136" s="49"/>
      <c r="M136" s="49"/>
      <c r="N136" s="49"/>
      <c r="O136" s="49"/>
      <c r="P136" s="50"/>
      <c r="Q136" s="50"/>
      <c r="R136" s="50"/>
    </row>
    <row r="137" spans="2:18" x14ac:dyDescent="0.25">
      <c r="B137" s="47"/>
      <c r="C137" s="48"/>
      <c r="D137" s="48"/>
      <c r="E137" s="48"/>
      <c r="F137" s="48"/>
      <c r="G137" s="49"/>
      <c r="H137" s="49"/>
      <c r="I137" s="49"/>
      <c r="J137" s="49"/>
      <c r="K137" s="49"/>
      <c r="L137" s="49"/>
      <c r="M137" s="49"/>
      <c r="N137" s="49"/>
      <c r="O137" s="49"/>
      <c r="P137" s="50"/>
      <c r="Q137" s="50"/>
      <c r="R137" s="50"/>
    </row>
    <row r="138" spans="2:18" x14ac:dyDescent="0.25">
      <c r="B138" s="47"/>
      <c r="C138" s="48"/>
      <c r="D138" s="48"/>
      <c r="E138" s="48"/>
      <c r="F138" s="48"/>
      <c r="G138" s="49"/>
      <c r="H138" s="49"/>
      <c r="I138" s="49"/>
      <c r="J138" s="49"/>
      <c r="K138" s="49"/>
      <c r="L138" s="49"/>
      <c r="M138" s="49"/>
      <c r="N138" s="49"/>
      <c r="O138" s="49"/>
      <c r="P138" s="50"/>
      <c r="Q138" s="50"/>
      <c r="R138" s="50"/>
    </row>
    <row r="139" spans="2:18" x14ac:dyDescent="0.25">
      <c r="B139" s="47"/>
      <c r="C139" s="48"/>
      <c r="D139" s="48"/>
      <c r="E139" s="48"/>
      <c r="F139" s="48"/>
      <c r="G139" s="49"/>
      <c r="H139" s="49"/>
      <c r="I139" s="49"/>
      <c r="J139" s="49"/>
      <c r="K139" s="49"/>
      <c r="L139" s="49"/>
      <c r="M139" s="49"/>
      <c r="N139" s="49"/>
      <c r="O139" s="49"/>
      <c r="P139" s="50"/>
      <c r="Q139" s="50"/>
      <c r="R139" s="50"/>
    </row>
    <row r="140" spans="2:18" x14ac:dyDescent="0.25">
      <c r="B140" s="47"/>
      <c r="C140" s="48"/>
      <c r="D140" s="48"/>
      <c r="E140" s="48"/>
      <c r="F140" s="48"/>
      <c r="G140" s="49"/>
      <c r="H140" s="49"/>
      <c r="I140" s="49"/>
      <c r="J140" s="49"/>
      <c r="K140" s="49"/>
      <c r="L140" s="49"/>
      <c r="M140" s="49"/>
      <c r="N140" s="49"/>
      <c r="O140" s="49"/>
      <c r="P140" s="50"/>
      <c r="Q140" s="50"/>
      <c r="R140" s="50"/>
    </row>
    <row r="141" spans="2:18" x14ac:dyDescent="0.25">
      <c r="B141" s="47"/>
      <c r="C141" s="48"/>
      <c r="D141" s="48"/>
      <c r="E141" s="48"/>
      <c r="F141" s="48"/>
      <c r="G141" s="49"/>
      <c r="H141" s="49"/>
      <c r="I141" s="49"/>
      <c r="J141" s="49"/>
      <c r="K141" s="49"/>
      <c r="L141" s="49"/>
      <c r="M141" s="49"/>
      <c r="N141" s="49"/>
      <c r="O141" s="49"/>
      <c r="P141" s="50"/>
      <c r="Q141" s="50"/>
      <c r="R141" s="50"/>
    </row>
    <row r="142" spans="2:18" x14ac:dyDescent="0.25">
      <c r="B142" s="47"/>
      <c r="C142" s="48"/>
      <c r="D142" s="48"/>
      <c r="E142" s="48"/>
      <c r="F142" s="48"/>
      <c r="G142" s="49"/>
      <c r="H142" s="49"/>
      <c r="I142" s="49"/>
      <c r="J142" s="49"/>
      <c r="K142" s="49"/>
      <c r="L142" s="49"/>
      <c r="M142" s="49"/>
      <c r="N142" s="49"/>
      <c r="O142" s="49"/>
      <c r="P142" s="50"/>
      <c r="Q142" s="50"/>
      <c r="R142" s="50"/>
    </row>
    <row r="143" spans="2:18" x14ac:dyDescent="0.25">
      <c r="B143" s="47"/>
      <c r="C143" s="48"/>
      <c r="D143" s="48"/>
      <c r="E143" s="48"/>
      <c r="F143" s="48"/>
      <c r="G143" s="49"/>
      <c r="H143" s="49"/>
      <c r="I143" s="49"/>
      <c r="J143" s="49"/>
      <c r="K143" s="49"/>
      <c r="L143" s="49"/>
      <c r="M143" s="49"/>
      <c r="N143" s="49"/>
      <c r="O143" s="49"/>
      <c r="P143" s="50"/>
      <c r="Q143" s="50"/>
      <c r="R143" s="50"/>
    </row>
    <row r="144" spans="2:18" x14ac:dyDescent="0.25">
      <c r="B144" s="47"/>
      <c r="C144" s="48"/>
      <c r="D144" s="48"/>
      <c r="E144" s="48"/>
      <c r="F144" s="48"/>
      <c r="G144" s="49"/>
      <c r="H144" s="49"/>
      <c r="I144" s="49"/>
      <c r="J144" s="49"/>
      <c r="K144" s="49"/>
      <c r="L144" s="49"/>
      <c r="M144" s="49"/>
      <c r="N144" s="49"/>
      <c r="O144" s="49"/>
      <c r="P144" s="50"/>
      <c r="Q144" s="50"/>
      <c r="R144" s="50"/>
    </row>
    <row r="145" spans="2:18" x14ac:dyDescent="0.25">
      <c r="B145" s="47"/>
      <c r="C145" s="48"/>
      <c r="D145" s="48"/>
      <c r="E145" s="48"/>
      <c r="F145" s="48"/>
      <c r="G145" s="49"/>
      <c r="H145" s="49"/>
      <c r="I145" s="49"/>
      <c r="J145" s="49"/>
      <c r="K145" s="49"/>
      <c r="L145" s="49"/>
      <c r="M145" s="49"/>
      <c r="N145" s="49"/>
      <c r="O145" s="49"/>
      <c r="P145" s="50"/>
      <c r="Q145" s="50"/>
      <c r="R145" s="50"/>
    </row>
    <row r="146" spans="2:18" x14ac:dyDescent="0.25">
      <c r="B146" s="47"/>
      <c r="C146" s="48"/>
      <c r="D146" s="48"/>
      <c r="E146" s="48"/>
      <c r="F146" s="48"/>
      <c r="G146" s="49"/>
      <c r="H146" s="49"/>
      <c r="I146" s="49"/>
      <c r="J146" s="49"/>
      <c r="K146" s="49"/>
      <c r="L146" s="49"/>
      <c r="M146" s="49"/>
      <c r="N146" s="49"/>
      <c r="O146" s="49"/>
      <c r="P146" s="50"/>
      <c r="Q146" s="50"/>
      <c r="R146" s="50"/>
    </row>
    <row r="147" spans="2:18" x14ac:dyDescent="0.25">
      <c r="B147" s="47"/>
      <c r="C147" s="48"/>
      <c r="D147" s="48"/>
      <c r="E147" s="48"/>
      <c r="F147" s="48"/>
      <c r="G147" s="49"/>
      <c r="H147" s="49"/>
      <c r="I147" s="49"/>
      <c r="J147" s="49"/>
      <c r="K147" s="49"/>
      <c r="L147" s="49"/>
      <c r="M147" s="49"/>
      <c r="N147" s="49"/>
      <c r="O147" s="49"/>
      <c r="P147" s="50"/>
      <c r="Q147" s="50"/>
      <c r="R147" s="50"/>
    </row>
    <row r="148" spans="2:18" x14ac:dyDescent="0.25">
      <c r="B148" s="47"/>
      <c r="C148" s="48"/>
      <c r="D148" s="48"/>
      <c r="E148" s="48"/>
      <c r="F148" s="48"/>
      <c r="G148" s="49"/>
      <c r="H148" s="49"/>
      <c r="I148" s="49"/>
      <c r="J148" s="49"/>
      <c r="K148" s="49"/>
      <c r="L148" s="49"/>
      <c r="M148" s="49"/>
      <c r="N148" s="49"/>
      <c r="O148" s="49"/>
      <c r="P148" s="50"/>
      <c r="Q148" s="50"/>
      <c r="R148" s="50"/>
    </row>
    <row r="149" spans="2:18" x14ac:dyDescent="0.25">
      <c r="B149" s="47"/>
      <c r="C149" s="48"/>
      <c r="D149" s="48"/>
      <c r="E149" s="48"/>
      <c r="F149" s="48"/>
      <c r="G149" s="49"/>
      <c r="H149" s="49"/>
      <c r="I149" s="49"/>
      <c r="J149" s="49"/>
      <c r="K149" s="49"/>
      <c r="L149" s="49"/>
      <c r="M149" s="49"/>
      <c r="N149" s="49"/>
      <c r="O149" s="49"/>
      <c r="P149" s="50"/>
      <c r="Q149" s="50"/>
      <c r="R149" s="50"/>
    </row>
    <row r="150" spans="2:18" x14ac:dyDescent="0.25">
      <c r="B150" s="47"/>
      <c r="C150" s="48"/>
      <c r="D150" s="48"/>
      <c r="E150" s="48"/>
      <c r="F150" s="48"/>
      <c r="G150" s="49"/>
      <c r="H150" s="49"/>
      <c r="I150" s="49"/>
      <c r="J150" s="49"/>
      <c r="K150" s="49"/>
      <c r="L150" s="49"/>
      <c r="M150" s="49"/>
      <c r="N150" s="49"/>
      <c r="O150" s="49"/>
      <c r="P150" s="50"/>
      <c r="Q150" s="50"/>
      <c r="R150" s="50"/>
    </row>
    <row r="151" spans="2:18" x14ac:dyDescent="0.25">
      <c r="B151" s="47"/>
      <c r="C151" s="48"/>
      <c r="D151" s="48"/>
      <c r="E151" s="48"/>
      <c r="F151" s="48"/>
      <c r="G151" s="49"/>
      <c r="H151" s="49"/>
      <c r="I151" s="49"/>
      <c r="J151" s="49"/>
      <c r="K151" s="49"/>
      <c r="L151" s="49"/>
      <c r="M151" s="49"/>
      <c r="N151" s="49"/>
      <c r="O151" s="49"/>
      <c r="P151" s="50"/>
      <c r="Q151" s="50"/>
      <c r="R151" s="50"/>
    </row>
    <row r="152" spans="2:18" x14ac:dyDescent="0.25">
      <c r="B152" s="47"/>
      <c r="C152" s="48"/>
      <c r="D152" s="48"/>
      <c r="E152" s="48"/>
      <c r="F152" s="48"/>
      <c r="G152" s="49"/>
      <c r="H152" s="49"/>
      <c r="I152" s="49"/>
      <c r="J152" s="49"/>
      <c r="K152" s="49"/>
      <c r="L152" s="49"/>
      <c r="M152" s="49"/>
      <c r="N152" s="49"/>
      <c r="O152" s="49"/>
      <c r="P152" s="50"/>
      <c r="Q152" s="50"/>
      <c r="R152" s="50"/>
    </row>
    <row r="153" spans="2:18" x14ac:dyDescent="0.25">
      <c r="B153" s="47"/>
      <c r="C153" s="48"/>
      <c r="D153" s="48"/>
      <c r="E153" s="48"/>
      <c r="F153" s="48"/>
      <c r="G153" s="49"/>
      <c r="H153" s="49"/>
      <c r="I153" s="49"/>
      <c r="J153" s="49"/>
      <c r="K153" s="49"/>
      <c r="L153" s="49"/>
      <c r="M153" s="49"/>
      <c r="N153" s="49"/>
      <c r="O153" s="49"/>
      <c r="P153" s="50"/>
      <c r="Q153" s="50"/>
      <c r="R153" s="50"/>
    </row>
    <row r="154" spans="2:18" x14ac:dyDescent="0.25">
      <c r="B154" s="47"/>
      <c r="C154" s="48"/>
      <c r="D154" s="48"/>
      <c r="E154" s="48"/>
      <c r="F154" s="48"/>
      <c r="G154" s="49"/>
      <c r="H154" s="49"/>
      <c r="I154" s="49"/>
      <c r="J154" s="49"/>
      <c r="K154" s="49"/>
      <c r="L154" s="49"/>
      <c r="M154" s="49"/>
      <c r="N154" s="49"/>
      <c r="O154" s="49"/>
      <c r="P154" s="50"/>
      <c r="Q154" s="50"/>
      <c r="R154" s="50"/>
    </row>
    <row r="155" spans="2:18" x14ac:dyDescent="0.25">
      <c r="B155" s="51"/>
      <c r="C155" s="52"/>
      <c r="D155" s="52"/>
      <c r="E155" s="52"/>
      <c r="F155" s="52"/>
      <c r="G155" s="53"/>
      <c r="H155" s="53"/>
      <c r="I155" s="53"/>
      <c r="J155" s="53"/>
      <c r="K155" s="53"/>
      <c r="L155" s="53"/>
      <c r="M155" s="53"/>
      <c r="N155" s="53"/>
      <c r="O155" s="53"/>
      <c r="P155" s="54"/>
      <c r="Q155" s="54"/>
      <c r="R155" s="54"/>
    </row>
    <row r="156" spans="2:18" x14ac:dyDescent="0.25">
      <c r="B156" s="51"/>
      <c r="C156" s="52"/>
      <c r="D156" s="52"/>
      <c r="E156" s="52"/>
      <c r="F156" s="52"/>
      <c r="G156" s="53"/>
      <c r="H156" s="53"/>
      <c r="I156" s="53"/>
      <c r="J156" s="53"/>
      <c r="K156" s="53"/>
      <c r="L156" s="53"/>
      <c r="M156" s="53"/>
      <c r="N156" s="53"/>
      <c r="O156" s="53"/>
      <c r="P156" s="54"/>
      <c r="Q156" s="54"/>
      <c r="R156" s="54"/>
    </row>
    <row r="157" spans="2:18" x14ac:dyDescent="0.25">
      <c r="B157" s="51"/>
      <c r="C157" s="52"/>
      <c r="D157" s="52"/>
      <c r="E157" s="52"/>
      <c r="F157" s="52"/>
      <c r="G157" s="53"/>
      <c r="H157" s="53"/>
      <c r="I157" s="53"/>
      <c r="J157" s="53"/>
      <c r="K157" s="53"/>
      <c r="L157" s="53"/>
      <c r="M157" s="53"/>
      <c r="N157" s="53"/>
      <c r="O157" s="53"/>
      <c r="P157" s="54"/>
      <c r="Q157" s="54"/>
      <c r="R157" s="54"/>
    </row>
    <row r="158" spans="2:18" x14ac:dyDescent="0.25">
      <c r="B158" s="51"/>
      <c r="C158" s="52"/>
      <c r="D158" s="52"/>
      <c r="E158" s="52"/>
      <c r="F158" s="52"/>
      <c r="G158" s="53"/>
      <c r="H158" s="53"/>
      <c r="I158" s="53"/>
      <c r="J158" s="53"/>
      <c r="K158" s="53"/>
      <c r="L158" s="53"/>
      <c r="M158" s="53"/>
      <c r="N158" s="53"/>
      <c r="O158" s="53"/>
      <c r="P158" s="54"/>
      <c r="Q158" s="54"/>
      <c r="R158" s="54"/>
    </row>
    <row r="159" spans="2:18" x14ac:dyDescent="0.25">
      <c r="B159" s="51"/>
      <c r="C159" s="52"/>
      <c r="D159" s="52"/>
      <c r="E159" s="52"/>
      <c r="F159" s="52"/>
      <c r="G159" s="53"/>
      <c r="H159" s="53"/>
      <c r="I159" s="53"/>
      <c r="J159" s="53"/>
      <c r="K159" s="53"/>
      <c r="L159" s="53"/>
      <c r="M159" s="53"/>
      <c r="N159" s="53"/>
      <c r="O159" s="53"/>
      <c r="P159" s="54"/>
      <c r="Q159" s="54"/>
      <c r="R159" s="54"/>
    </row>
    <row r="160" spans="2:18" x14ac:dyDescent="0.25">
      <c r="B160" s="51"/>
      <c r="C160" s="52"/>
      <c r="D160" s="52"/>
      <c r="E160" s="52"/>
      <c r="F160" s="52"/>
      <c r="G160" s="53"/>
      <c r="H160" s="53"/>
      <c r="I160" s="53"/>
      <c r="J160" s="53"/>
      <c r="K160" s="53"/>
      <c r="L160" s="53"/>
      <c r="M160" s="53"/>
      <c r="N160" s="53"/>
      <c r="O160" s="53"/>
      <c r="P160" s="54"/>
      <c r="Q160" s="54"/>
      <c r="R160" s="54"/>
    </row>
    <row r="161" spans="2:18" x14ac:dyDescent="0.25">
      <c r="B161" s="51"/>
      <c r="C161" s="52"/>
      <c r="D161" s="52"/>
      <c r="E161" s="52"/>
      <c r="F161" s="52"/>
      <c r="G161" s="53"/>
      <c r="H161" s="53"/>
      <c r="I161" s="53"/>
      <c r="J161" s="53"/>
      <c r="K161" s="53"/>
      <c r="L161" s="53"/>
      <c r="M161" s="53"/>
      <c r="N161" s="53"/>
      <c r="O161" s="53"/>
      <c r="P161" s="54"/>
      <c r="Q161" s="54"/>
      <c r="R161" s="54"/>
    </row>
    <row r="162" spans="2:18" x14ac:dyDescent="0.25">
      <c r="B162" s="51"/>
      <c r="C162" s="52"/>
      <c r="D162" s="52"/>
      <c r="E162" s="52"/>
      <c r="F162" s="52"/>
      <c r="G162" s="53"/>
      <c r="H162" s="53"/>
      <c r="I162" s="53"/>
      <c r="J162" s="53"/>
      <c r="K162" s="53"/>
      <c r="L162" s="53"/>
      <c r="M162" s="53"/>
      <c r="N162" s="53"/>
      <c r="O162" s="53"/>
      <c r="P162" s="54"/>
      <c r="Q162" s="54"/>
      <c r="R162" s="54"/>
    </row>
    <row r="163" spans="2:18" x14ac:dyDescent="0.25">
      <c r="B163" s="51"/>
      <c r="C163" s="52"/>
      <c r="D163" s="52"/>
      <c r="E163" s="52"/>
      <c r="F163" s="52"/>
      <c r="G163" s="53"/>
      <c r="H163" s="53"/>
      <c r="I163" s="53"/>
      <c r="J163" s="53"/>
      <c r="K163" s="53"/>
      <c r="L163" s="53"/>
      <c r="M163" s="53"/>
      <c r="N163" s="53"/>
      <c r="O163" s="53"/>
      <c r="P163" s="54"/>
      <c r="Q163" s="54"/>
      <c r="R163" s="54"/>
    </row>
    <row r="164" spans="2:18" x14ac:dyDescent="0.25">
      <c r="B164" s="51"/>
      <c r="C164" s="52"/>
      <c r="D164" s="52"/>
      <c r="E164" s="52"/>
      <c r="F164" s="52"/>
      <c r="G164" s="53"/>
      <c r="H164" s="53"/>
      <c r="I164" s="53"/>
      <c r="J164" s="53"/>
      <c r="K164" s="53"/>
      <c r="L164" s="53"/>
      <c r="M164" s="53"/>
      <c r="N164" s="53"/>
      <c r="O164" s="53"/>
      <c r="P164" s="54"/>
      <c r="Q164" s="54"/>
      <c r="R164" s="54"/>
    </row>
    <row r="165" spans="2:18" x14ac:dyDescent="0.25">
      <c r="B165" s="51"/>
      <c r="C165" s="52"/>
      <c r="D165" s="52"/>
      <c r="E165" s="52"/>
      <c r="F165" s="52"/>
      <c r="G165" s="53"/>
      <c r="H165" s="53"/>
      <c r="I165" s="53"/>
      <c r="J165" s="53"/>
      <c r="K165" s="53"/>
      <c r="L165" s="53"/>
      <c r="M165" s="53"/>
      <c r="N165" s="53"/>
      <c r="O165" s="53"/>
      <c r="P165" s="54"/>
      <c r="Q165" s="54"/>
      <c r="R165" s="54"/>
    </row>
    <row r="166" spans="2:18" x14ac:dyDescent="0.25">
      <c r="B166" s="51"/>
      <c r="C166" s="52"/>
      <c r="D166" s="52"/>
      <c r="E166" s="52"/>
      <c r="F166" s="52"/>
      <c r="G166" s="53"/>
      <c r="H166" s="53"/>
      <c r="I166" s="53"/>
      <c r="J166" s="53"/>
      <c r="K166" s="53"/>
      <c r="L166" s="53"/>
      <c r="M166" s="53"/>
      <c r="N166" s="53"/>
      <c r="O166" s="53"/>
      <c r="P166" s="54"/>
      <c r="Q166" s="54"/>
      <c r="R166" s="54"/>
    </row>
    <row r="167" spans="2:18" x14ac:dyDescent="0.25">
      <c r="B167" s="51"/>
      <c r="C167" s="52"/>
      <c r="D167" s="52"/>
      <c r="E167" s="52"/>
      <c r="F167" s="52"/>
      <c r="G167" s="53"/>
      <c r="H167" s="53"/>
      <c r="I167" s="53"/>
      <c r="J167" s="53"/>
      <c r="K167" s="53"/>
      <c r="L167" s="53"/>
      <c r="M167" s="53"/>
      <c r="N167" s="53"/>
      <c r="O167" s="53"/>
      <c r="P167" s="54"/>
      <c r="Q167" s="54"/>
      <c r="R167" s="54"/>
    </row>
    <row r="168" spans="2:18" x14ac:dyDescent="0.25">
      <c r="B168" s="51"/>
      <c r="C168" s="52"/>
      <c r="D168" s="52"/>
      <c r="E168" s="52"/>
      <c r="F168" s="52"/>
      <c r="G168" s="53"/>
      <c r="H168" s="53"/>
      <c r="I168" s="53"/>
      <c r="J168" s="53"/>
      <c r="K168" s="53"/>
      <c r="L168" s="53"/>
      <c r="M168" s="53"/>
      <c r="N168" s="53"/>
      <c r="O168" s="53"/>
      <c r="P168" s="54"/>
      <c r="Q168" s="54"/>
      <c r="R168" s="54"/>
    </row>
    <row r="169" spans="2:18" x14ac:dyDescent="0.25">
      <c r="B169" s="51"/>
      <c r="C169" s="52"/>
      <c r="D169" s="52"/>
      <c r="E169" s="52"/>
      <c r="F169" s="52"/>
      <c r="G169" s="53"/>
      <c r="H169" s="53"/>
      <c r="I169" s="53"/>
      <c r="J169" s="53"/>
      <c r="K169" s="53"/>
      <c r="L169" s="53"/>
      <c r="M169" s="53"/>
      <c r="N169" s="53"/>
      <c r="O169" s="53"/>
      <c r="P169" s="54"/>
      <c r="Q169" s="54"/>
      <c r="R169" s="54"/>
    </row>
    <row r="170" spans="2:18" x14ac:dyDescent="0.25">
      <c r="B170" s="51"/>
      <c r="C170" s="52"/>
      <c r="D170" s="52"/>
      <c r="E170" s="52"/>
      <c r="F170" s="52"/>
      <c r="G170" s="53"/>
      <c r="H170" s="53"/>
      <c r="I170" s="53"/>
      <c r="J170" s="53"/>
      <c r="K170" s="53"/>
      <c r="L170" s="53"/>
      <c r="M170" s="53"/>
      <c r="N170" s="53"/>
      <c r="O170" s="53"/>
      <c r="P170" s="54"/>
      <c r="Q170" s="54"/>
      <c r="R170" s="54"/>
    </row>
    <row r="171" spans="2:18" x14ac:dyDescent="0.25">
      <c r="B171" s="51"/>
      <c r="C171" s="52"/>
      <c r="D171" s="52"/>
      <c r="E171" s="52"/>
      <c r="F171" s="52"/>
      <c r="G171" s="53"/>
      <c r="H171" s="53"/>
      <c r="I171" s="53"/>
      <c r="J171" s="53"/>
      <c r="K171" s="53"/>
      <c r="L171" s="53"/>
      <c r="M171" s="53"/>
      <c r="N171" s="53"/>
      <c r="O171" s="53"/>
      <c r="P171" s="54"/>
      <c r="Q171" s="54"/>
      <c r="R171" s="54"/>
    </row>
    <row r="172" spans="2:18" x14ac:dyDescent="0.25">
      <c r="B172" s="51"/>
      <c r="C172" s="52"/>
      <c r="D172" s="52"/>
      <c r="E172" s="52"/>
      <c r="F172" s="52"/>
      <c r="G172" s="53"/>
      <c r="H172" s="53"/>
      <c r="I172" s="53"/>
      <c r="J172" s="53"/>
      <c r="K172" s="53"/>
      <c r="L172" s="53"/>
      <c r="M172" s="53"/>
      <c r="N172" s="53"/>
      <c r="O172" s="53"/>
      <c r="P172" s="54"/>
      <c r="Q172" s="54"/>
      <c r="R172" s="54"/>
    </row>
    <row r="173" spans="2:18" x14ac:dyDescent="0.25">
      <c r="B173" s="51"/>
      <c r="C173" s="52"/>
      <c r="D173" s="52"/>
      <c r="E173" s="52"/>
      <c r="F173" s="52"/>
      <c r="G173" s="53"/>
      <c r="H173" s="53"/>
      <c r="I173" s="53"/>
      <c r="J173" s="53"/>
      <c r="K173" s="53"/>
      <c r="L173" s="53"/>
      <c r="M173" s="53"/>
      <c r="N173" s="53"/>
      <c r="O173" s="53"/>
      <c r="P173" s="54"/>
      <c r="Q173" s="54"/>
      <c r="R173" s="54"/>
    </row>
    <row r="174" spans="2:18" x14ac:dyDescent="0.25">
      <c r="B174" s="51"/>
      <c r="C174" s="52"/>
      <c r="D174" s="52"/>
      <c r="E174" s="52"/>
      <c r="F174" s="52"/>
      <c r="G174" s="53"/>
      <c r="H174" s="53"/>
      <c r="I174" s="53"/>
      <c r="J174" s="53"/>
      <c r="K174" s="53"/>
      <c r="L174" s="53"/>
      <c r="M174" s="53"/>
      <c r="N174" s="53"/>
      <c r="O174" s="53"/>
      <c r="P174" s="54"/>
      <c r="Q174" s="54"/>
      <c r="R174" s="54"/>
    </row>
    <row r="175" spans="2:18" x14ac:dyDescent="0.25">
      <c r="B175" s="51"/>
      <c r="C175" s="52"/>
      <c r="D175" s="52"/>
      <c r="E175" s="52"/>
      <c r="F175" s="52"/>
      <c r="G175" s="53"/>
      <c r="H175" s="53"/>
      <c r="I175" s="53"/>
      <c r="J175" s="53"/>
      <c r="K175" s="53"/>
      <c r="L175" s="53"/>
      <c r="M175" s="53"/>
      <c r="N175" s="53"/>
      <c r="O175" s="53"/>
      <c r="P175" s="54"/>
      <c r="Q175" s="54"/>
      <c r="R175" s="54"/>
    </row>
    <row r="176" spans="2:18" x14ac:dyDescent="0.25">
      <c r="B176" s="51"/>
      <c r="C176" s="52"/>
      <c r="D176" s="52"/>
      <c r="E176" s="52"/>
      <c r="F176" s="52"/>
      <c r="G176" s="53"/>
      <c r="H176" s="53"/>
      <c r="I176" s="53"/>
      <c r="J176" s="53"/>
      <c r="K176" s="53"/>
      <c r="L176" s="53"/>
      <c r="M176" s="53"/>
      <c r="N176" s="53"/>
      <c r="O176" s="53"/>
      <c r="P176" s="54"/>
      <c r="Q176" s="54"/>
      <c r="R176" s="54"/>
    </row>
    <row r="177" spans="2:18" x14ac:dyDescent="0.25">
      <c r="B177" s="51"/>
      <c r="C177" s="52"/>
      <c r="D177" s="52"/>
      <c r="E177" s="52"/>
      <c r="F177" s="52"/>
      <c r="G177" s="53"/>
      <c r="H177" s="53"/>
      <c r="I177" s="53"/>
      <c r="J177" s="53"/>
      <c r="K177" s="53"/>
      <c r="L177" s="53"/>
      <c r="M177" s="53"/>
      <c r="N177" s="53"/>
      <c r="O177" s="53"/>
      <c r="P177" s="54"/>
      <c r="Q177" s="54"/>
      <c r="R177" s="54"/>
    </row>
    <row r="178" spans="2:18" x14ac:dyDescent="0.25">
      <c r="B178" s="51"/>
      <c r="C178" s="52"/>
      <c r="D178" s="52"/>
      <c r="E178" s="52"/>
      <c r="F178" s="52"/>
      <c r="G178" s="53"/>
      <c r="H178" s="53"/>
      <c r="I178" s="53"/>
      <c r="J178" s="53"/>
      <c r="K178" s="53"/>
      <c r="L178" s="53"/>
      <c r="M178" s="53"/>
      <c r="N178" s="53"/>
      <c r="O178" s="53"/>
      <c r="P178" s="54"/>
      <c r="Q178" s="54"/>
      <c r="R178" s="54"/>
    </row>
    <row r="179" spans="2:18" x14ac:dyDescent="0.25">
      <c r="B179" s="51"/>
      <c r="C179" s="52"/>
      <c r="D179" s="52"/>
      <c r="E179" s="52"/>
      <c r="F179" s="52"/>
      <c r="G179" s="53"/>
      <c r="H179" s="53"/>
      <c r="I179" s="53"/>
      <c r="J179" s="53"/>
      <c r="K179" s="53"/>
      <c r="L179" s="53"/>
      <c r="M179" s="53"/>
      <c r="N179" s="53"/>
      <c r="O179" s="53"/>
      <c r="P179" s="54"/>
      <c r="Q179" s="54"/>
      <c r="R179" s="54"/>
    </row>
    <row r="180" spans="2:18" x14ac:dyDescent="0.25">
      <c r="B180" s="51"/>
      <c r="C180" s="52"/>
      <c r="D180" s="52"/>
      <c r="E180" s="52"/>
      <c r="F180" s="52"/>
      <c r="G180" s="53"/>
      <c r="H180" s="53"/>
      <c r="I180" s="53"/>
      <c r="J180" s="53"/>
      <c r="K180" s="53"/>
      <c r="L180" s="53"/>
      <c r="M180" s="53"/>
      <c r="N180" s="53"/>
      <c r="O180" s="53"/>
      <c r="P180" s="54"/>
      <c r="Q180" s="54"/>
      <c r="R180" s="54"/>
    </row>
    <row r="181" spans="2:18" x14ac:dyDescent="0.25">
      <c r="B181" s="51"/>
      <c r="C181" s="52"/>
      <c r="D181" s="52"/>
      <c r="E181" s="52"/>
      <c r="F181" s="52"/>
      <c r="G181" s="53"/>
      <c r="H181" s="53"/>
      <c r="I181" s="53"/>
      <c r="J181" s="53"/>
      <c r="K181" s="53"/>
      <c r="L181" s="53"/>
      <c r="M181" s="53"/>
      <c r="N181" s="53"/>
      <c r="O181" s="53"/>
      <c r="P181" s="54"/>
      <c r="Q181" s="54"/>
      <c r="R181" s="54"/>
    </row>
    <row r="182" spans="2:18" x14ac:dyDescent="0.25">
      <c r="B182" s="51"/>
      <c r="C182" s="52"/>
      <c r="D182" s="52"/>
      <c r="E182" s="52"/>
      <c r="F182" s="52"/>
      <c r="G182" s="53"/>
      <c r="H182" s="53"/>
      <c r="I182" s="53"/>
      <c r="J182" s="53"/>
      <c r="K182" s="53"/>
      <c r="L182" s="53"/>
      <c r="M182" s="53"/>
      <c r="N182" s="53"/>
      <c r="O182" s="53"/>
      <c r="P182" s="54"/>
      <c r="Q182" s="54"/>
      <c r="R182" s="54"/>
    </row>
    <row r="183" spans="2:18" x14ac:dyDescent="0.25">
      <c r="B183" s="51"/>
      <c r="C183" s="52"/>
      <c r="D183" s="52"/>
      <c r="E183" s="52"/>
      <c r="F183" s="52"/>
      <c r="G183" s="53"/>
      <c r="H183" s="53"/>
      <c r="I183" s="53"/>
      <c r="J183" s="53"/>
      <c r="K183" s="53"/>
      <c r="L183" s="53"/>
      <c r="M183" s="53"/>
      <c r="N183" s="53"/>
      <c r="O183" s="53"/>
      <c r="P183" s="54"/>
      <c r="Q183" s="54"/>
      <c r="R183" s="54"/>
    </row>
    <row r="184" spans="2:18" x14ac:dyDescent="0.25">
      <c r="B184" s="51"/>
      <c r="C184" s="52"/>
      <c r="D184" s="52"/>
      <c r="E184" s="52"/>
      <c r="F184" s="52"/>
      <c r="G184" s="53"/>
      <c r="H184" s="53"/>
      <c r="I184" s="53"/>
      <c r="J184" s="53"/>
      <c r="K184" s="53"/>
      <c r="L184" s="53"/>
      <c r="M184" s="53"/>
      <c r="N184" s="53"/>
      <c r="O184" s="53"/>
      <c r="P184" s="54"/>
      <c r="Q184" s="54"/>
      <c r="R184" s="54"/>
    </row>
    <row r="185" spans="2:18" x14ac:dyDescent="0.25">
      <c r="B185" s="51"/>
      <c r="C185" s="52"/>
      <c r="D185" s="52"/>
      <c r="E185" s="52"/>
      <c r="F185" s="52"/>
      <c r="G185" s="53"/>
      <c r="H185" s="53"/>
      <c r="I185" s="53"/>
      <c r="J185" s="53"/>
      <c r="K185" s="53"/>
      <c r="L185" s="53"/>
      <c r="M185" s="53"/>
      <c r="N185" s="53"/>
      <c r="O185" s="53"/>
      <c r="P185" s="54"/>
      <c r="Q185" s="54"/>
      <c r="R185" s="54"/>
    </row>
    <row r="186" spans="2:18" x14ac:dyDescent="0.25">
      <c r="B186" s="51"/>
      <c r="C186" s="52"/>
      <c r="D186" s="52"/>
      <c r="E186" s="52"/>
      <c r="F186" s="52"/>
      <c r="G186" s="53"/>
      <c r="H186" s="53"/>
      <c r="I186" s="53"/>
      <c r="J186" s="53"/>
      <c r="K186" s="53"/>
      <c r="L186" s="53"/>
      <c r="M186" s="53"/>
      <c r="N186" s="53"/>
      <c r="O186" s="53"/>
      <c r="P186" s="54"/>
      <c r="Q186" s="54"/>
      <c r="R186" s="54"/>
    </row>
    <row r="187" spans="2:18" x14ac:dyDescent="0.25">
      <c r="B187" s="51"/>
      <c r="C187" s="52"/>
      <c r="D187" s="52"/>
      <c r="E187" s="52"/>
      <c r="F187" s="52"/>
      <c r="G187" s="53"/>
      <c r="H187" s="53"/>
      <c r="I187" s="53"/>
      <c r="J187" s="53"/>
      <c r="K187" s="53"/>
      <c r="L187" s="53"/>
      <c r="M187" s="53"/>
      <c r="N187" s="53"/>
      <c r="O187" s="53"/>
      <c r="P187" s="54"/>
      <c r="Q187" s="54"/>
      <c r="R187" s="54"/>
    </row>
    <row r="188" spans="2:18" x14ac:dyDescent="0.25">
      <c r="B188" s="51"/>
      <c r="C188" s="52"/>
      <c r="D188" s="52"/>
      <c r="E188" s="52"/>
      <c r="F188" s="52"/>
      <c r="G188" s="53"/>
      <c r="H188" s="53"/>
      <c r="I188" s="53"/>
      <c r="J188" s="53"/>
      <c r="K188" s="53"/>
      <c r="L188" s="53"/>
      <c r="M188" s="53"/>
      <c r="N188" s="53"/>
      <c r="O188" s="53"/>
      <c r="P188" s="54"/>
      <c r="Q188" s="54"/>
      <c r="R188" s="54"/>
    </row>
    <row r="189" spans="2:18" x14ac:dyDescent="0.25">
      <c r="B189" s="51"/>
      <c r="C189" s="52"/>
      <c r="D189" s="52"/>
      <c r="E189" s="52"/>
      <c r="F189" s="52"/>
      <c r="G189" s="53"/>
      <c r="H189" s="53"/>
      <c r="I189" s="53"/>
      <c r="J189" s="53"/>
      <c r="K189" s="53"/>
      <c r="L189" s="53"/>
      <c r="M189" s="53"/>
      <c r="N189" s="53"/>
      <c r="O189" s="53"/>
      <c r="P189" s="54"/>
      <c r="Q189" s="54"/>
      <c r="R189" s="54"/>
    </row>
  </sheetData>
  <mergeCells count="113">
    <mergeCell ref="B13:R13"/>
    <mergeCell ref="B14:R14"/>
    <mergeCell ref="C15:F15"/>
    <mergeCell ref="C16:F16"/>
    <mergeCell ref="C17:F17"/>
    <mergeCell ref="C18:F18"/>
    <mergeCell ref="B5:R5"/>
    <mergeCell ref="B6:R6"/>
    <mergeCell ref="B7:R7"/>
    <mergeCell ref="B8:R8"/>
    <mergeCell ref="B10:B12"/>
    <mergeCell ref="C10:F12"/>
    <mergeCell ref="G10:I10"/>
    <mergeCell ref="J10:L10"/>
    <mergeCell ref="M10:O10"/>
    <mergeCell ref="P10:R10"/>
    <mergeCell ref="C25:F25"/>
    <mergeCell ref="C26:F26"/>
    <mergeCell ref="C27:F27"/>
    <mergeCell ref="C28:F28"/>
    <mergeCell ref="B29:F29"/>
    <mergeCell ref="B30:R30"/>
    <mergeCell ref="C19:F19"/>
    <mergeCell ref="C20:F20"/>
    <mergeCell ref="B21:F21"/>
    <mergeCell ref="B22:R22"/>
    <mergeCell ref="B23:R23"/>
    <mergeCell ref="C24:F24"/>
    <mergeCell ref="C37:F37"/>
    <mergeCell ref="C39:F39"/>
    <mergeCell ref="C40:F40"/>
    <mergeCell ref="C41:F41"/>
    <mergeCell ref="C42:F42"/>
    <mergeCell ref="C43:F43"/>
    <mergeCell ref="B31:R31"/>
    <mergeCell ref="C32:F32"/>
    <mergeCell ref="C33:F33"/>
    <mergeCell ref="C34:F34"/>
    <mergeCell ref="C35:F35"/>
    <mergeCell ref="C36:F36"/>
    <mergeCell ref="C50:F50"/>
    <mergeCell ref="C51:F51"/>
    <mergeCell ref="C52:F52"/>
    <mergeCell ref="C53:F53"/>
    <mergeCell ref="C54:F54"/>
    <mergeCell ref="B55:F55"/>
    <mergeCell ref="C44:F44"/>
    <mergeCell ref="C45:F45"/>
    <mergeCell ref="C46:F46"/>
    <mergeCell ref="C47:F47"/>
    <mergeCell ref="C48:F48"/>
    <mergeCell ref="C49:F49"/>
    <mergeCell ref="C62:F62"/>
    <mergeCell ref="C63:F63"/>
    <mergeCell ref="C64:F64"/>
    <mergeCell ref="C65:F65"/>
    <mergeCell ref="C66:F66"/>
    <mergeCell ref="C67:F67"/>
    <mergeCell ref="B56:R56"/>
    <mergeCell ref="B57:R57"/>
    <mergeCell ref="C58:F58"/>
    <mergeCell ref="C59:F59"/>
    <mergeCell ref="C60:F60"/>
    <mergeCell ref="C61:F61"/>
    <mergeCell ref="C74:F74"/>
    <mergeCell ref="C75:F75"/>
    <mergeCell ref="C76:F76"/>
    <mergeCell ref="C77:F77"/>
    <mergeCell ref="C78:F78"/>
    <mergeCell ref="C79:F79"/>
    <mergeCell ref="C68:F68"/>
    <mergeCell ref="C69:F69"/>
    <mergeCell ref="C70:F70"/>
    <mergeCell ref="C71:F71"/>
    <mergeCell ref="C72:F72"/>
    <mergeCell ref="C73:F73"/>
    <mergeCell ref="C86:F86"/>
    <mergeCell ref="C87:F87"/>
    <mergeCell ref="C88:F88"/>
    <mergeCell ref="B89:F89"/>
    <mergeCell ref="B90:R90"/>
    <mergeCell ref="B91:R91"/>
    <mergeCell ref="C80:F80"/>
    <mergeCell ref="C81:F81"/>
    <mergeCell ref="C82:F82"/>
    <mergeCell ref="C83:F83"/>
    <mergeCell ref="C84:F84"/>
    <mergeCell ref="C85:F85"/>
    <mergeCell ref="C98:F98"/>
    <mergeCell ref="C99:F99"/>
    <mergeCell ref="C100:F100"/>
    <mergeCell ref="C101:F101"/>
    <mergeCell ref="C102:F102"/>
    <mergeCell ref="C103:F103"/>
    <mergeCell ref="C92:F92"/>
    <mergeCell ref="C93:F93"/>
    <mergeCell ref="C94:F94"/>
    <mergeCell ref="C95:F95"/>
    <mergeCell ref="C96:F96"/>
    <mergeCell ref="C97:F97"/>
    <mergeCell ref="B116:F116"/>
    <mergeCell ref="B110:F110"/>
    <mergeCell ref="B111:F111"/>
    <mergeCell ref="B112:F112"/>
    <mergeCell ref="B113:F113"/>
    <mergeCell ref="B114:F114"/>
    <mergeCell ref="B115:F115"/>
    <mergeCell ref="C104:F104"/>
    <mergeCell ref="B105:F105"/>
    <mergeCell ref="B106:R106"/>
    <mergeCell ref="B107:R107"/>
    <mergeCell ref="C108:F108"/>
    <mergeCell ref="C109:F109"/>
  </mergeCells>
  <pageMargins left="0.25" right="0.25" top="0.75" bottom="0.75" header="0.3" footer="0.3"/>
  <pageSetup paperSize="9" scale="88" fitToHeight="0" orientation="landscape" horizont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FF00"/>
    <pageSetUpPr fitToPage="1"/>
  </sheetPr>
  <dimension ref="A1:R292"/>
  <sheetViews>
    <sheetView view="pageBreakPreview" zoomScale="80" zoomScaleNormal="70" zoomScaleSheetLayoutView="80" workbookViewId="0">
      <selection activeCell="J12" sqref="J12"/>
    </sheetView>
  </sheetViews>
  <sheetFormatPr defaultColWidth="10.7109375" defaultRowHeight="12.75" x14ac:dyDescent="0.25"/>
  <cols>
    <col min="1" max="1" width="7.85546875" style="360" customWidth="1"/>
    <col min="2" max="2" width="25.7109375" style="373" customWidth="1"/>
    <col min="3" max="3" width="8.42578125" style="374" customWidth="1"/>
    <col min="4" max="4" width="8.42578125" style="774" hidden="1" customWidth="1"/>
    <col min="5" max="6" width="12.7109375" style="375" customWidth="1"/>
    <col min="7" max="7" width="31.85546875" style="360" hidden="1" customWidth="1"/>
    <col min="8" max="8" width="50.7109375" style="360" customWidth="1"/>
    <col min="9" max="9" width="33.28515625" style="360" hidden="1" customWidth="1"/>
    <col min="10" max="10" width="11.28515625" style="360" customWidth="1"/>
    <col min="11" max="257" width="10.7109375" style="360"/>
    <col min="258" max="258" width="13.140625" style="360" customWidth="1"/>
    <col min="259" max="259" width="38" style="360" customWidth="1"/>
    <col min="260" max="260" width="8.42578125" style="360" customWidth="1"/>
    <col min="261" max="261" width="15.7109375" style="360" customWidth="1"/>
    <col min="262" max="262" width="18.28515625" style="360" customWidth="1"/>
    <col min="263" max="263" width="17.85546875" style="360" customWidth="1"/>
    <col min="264" max="264" width="0" style="360" hidden="1" customWidth="1"/>
    <col min="265" max="265" width="33.28515625" style="360" customWidth="1"/>
    <col min="266" max="513" width="10.7109375" style="360"/>
    <col min="514" max="514" width="13.140625" style="360" customWidth="1"/>
    <col min="515" max="515" width="38" style="360" customWidth="1"/>
    <col min="516" max="516" width="8.42578125" style="360" customWidth="1"/>
    <col min="517" max="517" width="15.7109375" style="360" customWidth="1"/>
    <col min="518" max="518" width="18.28515625" style="360" customWidth="1"/>
    <col min="519" max="519" width="17.85546875" style="360" customWidth="1"/>
    <col min="520" max="520" width="0" style="360" hidden="1" customWidth="1"/>
    <col min="521" max="521" width="33.28515625" style="360" customWidth="1"/>
    <col min="522" max="769" width="10.7109375" style="360"/>
    <col min="770" max="770" width="13.140625" style="360" customWidth="1"/>
    <col min="771" max="771" width="38" style="360" customWidth="1"/>
    <col min="772" max="772" width="8.42578125" style="360" customWidth="1"/>
    <col min="773" max="773" width="15.7109375" style="360" customWidth="1"/>
    <col min="774" max="774" width="18.28515625" style="360" customWidth="1"/>
    <col min="775" max="775" width="17.85546875" style="360" customWidth="1"/>
    <col min="776" max="776" width="0" style="360" hidden="1" customWidth="1"/>
    <col min="777" max="777" width="33.28515625" style="360" customWidth="1"/>
    <col min="778" max="1025" width="10.7109375" style="360"/>
    <col min="1026" max="1026" width="13.140625" style="360" customWidth="1"/>
    <col min="1027" max="1027" width="38" style="360" customWidth="1"/>
    <col min="1028" max="1028" width="8.42578125" style="360" customWidth="1"/>
    <col min="1029" max="1029" width="15.7109375" style="360" customWidth="1"/>
    <col min="1030" max="1030" width="18.28515625" style="360" customWidth="1"/>
    <col min="1031" max="1031" width="17.85546875" style="360" customWidth="1"/>
    <col min="1032" max="1032" width="0" style="360" hidden="1" customWidth="1"/>
    <col min="1033" max="1033" width="33.28515625" style="360" customWidth="1"/>
    <col min="1034" max="1281" width="10.7109375" style="360"/>
    <col min="1282" max="1282" width="13.140625" style="360" customWidth="1"/>
    <col min="1283" max="1283" width="38" style="360" customWidth="1"/>
    <col min="1284" max="1284" width="8.42578125" style="360" customWidth="1"/>
    <col min="1285" max="1285" width="15.7109375" style="360" customWidth="1"/>
    <col min="1286" max="1286" width="18.28515625" style="360" customWidth="1"/>
    <col min="1287" max="1287" width="17.85546875" style="360" customWidth="1"/>
    <col min="1288" max="1288" width="0" style="360" hidden="1" customWidth="1"/>
    <col min="1289" max="1289" width="33.28515625" style="360" customWidth="1"/>
    <col min="1290" max="1537" width="10.7109375" style="360"/>
    <col min="1538" max="1538" width="13.140625" style="360" customWidth="1"/>
    <col min="1539" max="1539" width="38" style="360" customWidth="1"/>
    <col min="1540" max="1540" width="8.42578125" style="360" customWidth="1"/>
    <col min="1541" max="1541" width="15.7109375" style="360" customWidth="1"/>
    <col min="1542" max="1542" width="18.28515625" style="360" customWidth="1"/>
    <col min="1543" max="1543" width="17.85546875" style="360" customWidth="1"/>
    <col min="1544" max="1544" width="0" style="360" hidden="1" customWidth="1"/>
    <col min="1545" max="1545" width="33.28515625" style="360" customWidth="1"/>
    <col min="1546" max="1793" width="10.7109375" style="360"/>
    <col min="1794" max="1794" width="13.140625" style="360" customWidth="1"/>
    <col min="1795" max="1795" width="38" style="360" customWidth="1"/>
    <col min="1796" max="1796" width="8.42578125" style="360" customWidth="1"/>
    <col min="1797" max="1797" width="15.7109375" style="360" customWidth="1"/>
    <col min="1798" max="1798" width="18.28515625" style="360" customWidth="1"/>
    <col min="1799" max="1799" width="17.85546875" style="360" customWidth="1"/>
    <col min="1800" max="1800" width="0" style="360" hidden="1" customWidth="1"/>
    <col min="1801" max="1801" width="33.28515625" style="360" customWidth="1"/>
    <col min="1802" max="2049" width="10.7109375" style="360"/>
    <col min="2050" max="2050" width="13.140625" style="360" customWidth="1"/>
    <col min="2051" max="2051" width="38" style="360" customWidth="1"/>
    <col min="2052" max="2052" width="8.42578125" style="360" customWidth="1"/>
    <col min="2053" max="2053" width="15.7109375" style="360" customWidth="1"/>
    <col min="2054" max="2054" width="18.28515625" style="360" customWidth="1"/>
    <col min="2055" max="2055" width="17.85546875" style="360" customWidth="1"/>
    <col min="2056" max="2056" width="0" style="360" hidden="1" customWidth="1"/>
    <col min="2057" max="2057" width="33.28515625" style="360" customWidth="1"/>
    <col min="2058" max="2305" width="10.7109375" style="360"/>
    <col min="2306" max="2306" width="13.140625" style="360" customWidth="1"/>
    <col min="2307" max="2307" width="38" style="360" customWidth="1"/>
    <col min="2308" max="2308" width="8.42578125" style="360" customWidth="1"/>
    <col min="2309" max="2309" width="15.7109375" style="360" customWidth="1"/>
    <col min="2310" max="2310" width="18.28515625" style="360" customWidth="1"/>
    <col min="2311" max="2311" width="17.85546875" style="360" customWidth="1"/>
    <col min="2312" max="2312" width="0" style="360" hidden="1" customWidth="1"/>
    <col min="2313" max="2313" width="33.28515625" style="360" customWidth="1"/>
    <col min="2314" max="2561" width="10.7109375" style="360"/>
    <col min="2562" max="2562" width="13.140625" style="360" customWidth="1"/>
    <col min="2563" max="2563" width="38" style="360" customWidth="1"/>
    <col min="2564" max="2564" width="8.42578125" style="360" customWidth="1"/>
    <col min="2565" max="2565" width="15.7109375" style="360" customWidth="1"/>
    <col min="2566" max="2566" width="18.28515625" style="360" customWidth="1"/>
    <col min="2567" max="2567" width="17.85546875" style="360" customWidth="1"/>
    <col min="2568" max="2568" width="0" style="360" hidden="1" customWidth="1"/>
    <col min="2569" max="2569" width="33.28515625" style="360" customWidth="1"/>
    <col min="2570" max="2817" width="10.7109375" style="360"/>
    <col min="2818" max="2818" width="13.140625" style="360" customWidth="1"/>
    <col min="2819" max="2819" width="38" style="360" customWidth="1"/>
    <col min="2820" max="2820" width="8.42578125" style="360" customWidth="1"/>
    <col min="2821" max="2821" width="15.7109375" style="360" customWidth="1"/>
    <col min="2822" max="2822" width="18.28515625" style="360" customWidth="1"/>
    <col min="2823" max="2823" width="17.85546875" style="360" customWidth="1"/>
    <col min="2824" max="2824" width="0" style="360" hidden="1" customWidth="1"/>
    <col min="2825" max="2825" width="33.28515625" style="360" customWidth="1"/>
    <col min="2826" max="3073" width="10.7109375" style="360"/>
    <col min="3074" max="3074" width="13.140625" style="360" customWidth="1"/>
    <col min="3075" max="3075" width="38" style="360" customWidth="1"/>
    <col min="3076" max="3076" width="8.42578125" style="360" customWidth="1"/>
    <col min="3077" max="3077" width="15.7109375" style="360" customWidth="1"/>
    <col min="3078" max="3078" width="18.28515625" style="360" customWidth="1"/>
    <col min="3079" max="3079" width="17.85546875" style="360" customWidth="1"/>
    <col min="3080" max="3080" width="0" style="360" hidden="1" customWidth="1"/>
    <col min="3081" max="3081" width="33.28515625" style="360" customWidth="1"/>
    <col min="3082" max="3329" width="10.7109375" style="360"/>
    <col min="3330" max="3330" width="13.140625" style="360" customWidth="1"/>
    <col min="3331" max="3331" width="38" style="360" customWidth="1"/>
    <col min="3332" max="3332" width="8.42578125" style="360" customWidth="1"/>
    <col min="3333" max="3333" width="15.7109375" style="360" customWidth="1"/>
    <col min="3334" max="3334" width="18.28515625" style="360" customWidth="1"/>
    <col min="3335" max="3335" width="17.85546875" style="360" customWidth="1"/>
    <col min="3336" max="3336" width="0" style="360" hidden="1" customWidth="1"/>
    <col min="3337" max="3337" width="33.28515625" style="360" customWidth="1"/>
    <col min="3338" max="3585" width="10.7109375" style="360"/>
    <col min="3586" max="3586" width="13.140625" style="360" customWidth="1"/>
    <col min="3587" max="3587" width="38" style="360" customWidth="1"/>
    <col min="3588" max="3588" width="8.42578125" style="360" customWidth="1"/>
    <col min="3589" max="3589" width="15.7109375" style="360" customWidth="1"/>
    <col min="3590" max="3590" width="18.28515625" style="360" customWidth="1"/>
    <col min="3591" max="3591" width="17.85546875" style="360" customWidth="1"/>
    <col min="3592" max="3592" width="0" style="360" hidden="1" customWidth="1"/>
    <col min="3593" max="3593" width="33.28515625" style="360" customWidth="1"/>
    <col min="3594" max="3841" width="10.7109375" style="360"/>
    <col min="3842" max="3842" width="13.140625" style="360" customWidth="1"/>
    <col min="3843" max="3843" width="38" style="360" customWidth="1"/>
    <col min="3844" max="3844" width="8.42578125" style="360" customWidth="1"/>
    <col min="3845" max="3845" width="15.7109375" style="360" customWidth="1"/>
    <col min="3846" max="3846" width="18.28515625" style="360" customWidth="1"/>
    <col min="3847" max="3847" width="17.85546875" style="360" customWidth="1"/>
    <col min="3848" max="3848" width="0" style="360" hidden="1" customWidth="1"/>
    <col min="3849" max="3849" width="33.28515625" style="360" customWidth="1"/>
    <col min="3850" max="4097" width="10.7109375" style="360"/>
    <col min="4098" max="4098" width="13.140625" style="360" customWidth="1"/>
    <col min="4099" max="4099" width="38" style="360" customWidth="1"/>
    <col min="4100" max="4100" width="8.42578125" style="360" customWidth="1"/>
    <col min="4101" max="4101" width="15.7109375" style="360" customWidth="1"/>
    <col min="4102" max="4102" width="18.28515625" style="360" customWidth="1"/>
    <col min="4103" max="4103" width="17.85546875" style="360" customWidth="1"/>
    <col min="4104" max="4104" width="0" style="360" hidden="1" customWidth="1"/>
    <col min="4105" max="4105" width="33.28515625" style="360" customWidth="1"/>
    <col min="4106" max="4353" width="10.7109375" style="360"/>
    <col min="4354" max="4354" width="13.140625" style="360" customWidth="1"/>
    <col min="4355" max="4355" width="38" style="360" customWidth="1"/>
    <col min="4356" max="4356" width="8.42578125" style="360" customWidth="1"/>
    <col min="4357" max="4357" width="15.7109375" style="360" customWidth="1"/>
    <col min="4358" max="4358" width="18.28515625" style="360" customWidth="1"/>
    <col min="4359" max="4359" width="17.85546875" style="360" customWidth="1"/>
    <col min="4360" max="4360" width="0" style="360" hidden="1" customWidth="1"/>
    <col min="4361" max="4361" width="33.28515625" style="360" customWidth="1"/>
    <col min="4362" max="4609" width="10.7109375" style="360"/>
    <col min="4610" max="4610" width="13.140625" style="360" customWidth="1"/>
    <col min="4611" max="4611" width="38" style="360" customWidth="1"/>
    <col min="4612" max="4612" width="8.42578125" style="360" customWidth="1"/>
    <col min="4613" max="4613" width="15.7109375" style="360" customWidth="1"/>
    <col min="4614" max="4614" width="18.28515625" style="360" customWidth="1"/>
    <col min="4615" max="4615" width="17.85546875" style="360" customWidth="1"/>
    <col min="4616" max="4616" width="0" style="360" hidden="1" customWidth="1"/>
    <col min="4617" max="4617" width="33.28515625" style="360" customWidth="1"/>
    <col min="4618" max="4865" width="10.7109375" style="360"/>
    <col min="4866" max="4866" width="13.140625" style="360" customWidth="1"/>
    <col min="4867" max="4867" width="38" style="360" customWidth="1"/>
    <col min="4868" max="4868" width="8.42578125" style="360" customWidth="1"/>
    <col min="4869" max="4869" width="15.7109375" style="360" customWidth="1"/>
    <col min="4870" max="4870" width="18.28515625" style="360" customWidth="1"/>
    <col min="4871" max="4871" width="17.85546875" style="360" customWidth="1"/>
    <col min="4872" max="4872" width="0" style="360" hidden="1" customWidth="1"/>
    <col min="4873" max="4873" width="33.28515625" style="360" customWidth="1"/>
    <col min="4874" max="5121" width="10.7109375" style="360"/>
    <col min="5122" max="5122" width="13.140625" style="360" customWidth="1"/>
    <col min="5123" max="5123" width="38" style="360" customWidth="1"/>
    <col min="5124" max="5124" width="8.42578125" style="360" customWidth="1"/>
    <col min="5125" max="5125" width="15.7109375" style="360" customWidth="1"/>
    <col min="5126" max="5126" width="18.28515625" style="360" customWidth="1"/>
    <col min="5127" max="5127" width="17.85546875" style="360" customWidth="1"/>
    <col min="5128" max="5128" width="0" style="360" hidden="1" customWidth="1"/>
    <col min="5129" max="5129" width="33.28515625" style="360" customWidth="1"/>
    <col min="5130" max="5377" width="10.7109375" style="360"/>
    <col min="5378" max="5378" width="13.140625" style="360" customWidth="1"/>
    <col min="5379" max="5379" width="38" style="360" customWidth="1"/>
    <col min="5380" max="5380" width="8.42578125" style="360" customWidth="1"/>
    <col min="5381" max="5381" width="15.7109375" style="360" customWidth="1"/>
    <col min="5382" max="5382" width="18.28515625" style="360" customWidth="1"/>
    <col min="5383" max="5383" width="17.85546875" style="360" customWidth="1"/>
    <col min="5384" max="5384" width="0" style="360" hidden="1" customWidth="1"/>
    <col min="5385" max="5385" width="33.28515625" style="360" customWidth="1"/>
    <col min="5386" max="5633" width="10.7109375" style="360"/>
    <col min="5634" max="5634" width="13.140625" style="360" customWidth="1"/>
    <col min="5635" max="5635" width="38" style="360" customWidth="1"/>
    <col min="5636" max="5636" width="8.42578125" style="360" customWidth="1"/>
    <col min="5637" max="5637" width="15.7109375" style="360" customWidth="1"/>
    <col min="5638" max="5638" width="18.28515625" style="360" customWidth="1"/>
    <col min="5639" max="5639" width="17.85546875" style="360" customWidth="1"/>
    <col min="5640" max="5640" width="0" style="360" hidden="1" customWidth="1"/>
    <col min="5641" max="5641" width="33.28515625" style="360" customWidth="1"/>
    <col min="5642" max="5889" width="10.7109375" style="360"/>
    <col min="5890" max="5890" width="13.140625" style="360" customWidth="1"/>
    <col min="5891" max="5891" width="38" style="360" customWidth="1"/>
    <col min="5892" max="5892" width="8.42578125" style="360" customWidth="1"/>
    <col min="5893" max="5893" width="15.7109375" style="360" customWidth="1"/>
    <col min="5894" max="5894" width="18.28515625" style="360" customWidth="1"/>
    <col min="5895" max="5895" width="17.85546875" style="360" customWidth="1"/>
    <col min="5896" max="5896" width="0" style="360" hidden="1" customWidth="1"/>
    <col min="5897" max="5897" width="33.28515625" style="360" customWidth="1"/>
    <col min="5898" max="6145" width="10.7109375" style="360"/>
    <col min="6146" max="6146" width="13.140625" style="360" customWidth="1"/>
    <col min="6147" max="6147" width="38" style="360" customWidth="1"/>
    <col min="6148" max="6148" width="8.42578125" style="360" customWidth="1"/>
    <col min="6149" max="6149" width="15.7109375" style="360" customWidth="1"/>
    <col min="6150" max="6150" width="18.28515625" style="360" customWidth="1"/>
    <col min="6151" max="6151" width="17.85546875" style="360" customWidth="1"/>
    <col min="6152" max="6152" width="0" style="360" hidden="1" customWidth="1"/>
    <col min="6153" max="6153" width="33.28515625" style="360" customWidth="1"/>
    <col min="6154" max="6401" width="10.7109375" style="360"/>
    <col min="6402" max="6402" width="13.140625" style="360" customWidth="1"/>
    <col min="6403" max="6403" width="38" style="360" customWidth="1"/>
    <col min="6404" max="6404" width="8.42578125" style="360" customWidth="1"/>
    <col min="6405" max="6405" width="15.7109375" style="360" customWidth="1"/>
    <col min="6406" max="6406" width="18.28515625" style="360" customWidth="1"/>
    <col min="6407" max="6407" width="17.85546875" style="360" customWidth="1"/>
    <col min="6408" max="6408" width="0" style="360" hidden="1" customWidth="1"/>
    <col min="6409" max="6409" width="33.28515625" style="360" customWidth="1"/>
    <col min="6410" max="6657" width="10.7109375" style="360"/>
    <col min="6658" max="6658" width="13.140625" style="360" customWidth="1"/>
    <col min="6659" max="6659" width="38" style="360" customWidth="1"/>
    <col min="6660" max="6660" width="8.42578125" style="360" customWidth="1"/>
    <col min="6661" max="6661" width="15.7109375" style="360" customWidth="1"/>
    <col min="6662" max="6662" width="18.28515625" style="360" customWidth="1"/>
    <col min="6663" max="6663" width="17.85546875" style="360" customWidth="1"/>
    <col min="6664" max="6664" width="0" style="360" hidden="1" customWidth="1"/>
    <col min="6665" max="6665" width="33.28515625" style="360" customWidth="1"/>
    <col min="6666" max="6913" width="10.7109375" style="360"/>
    <col min="6914" max="6914" width="13.140625" style="360" customWidth="1"/>
    <col min="6915" max="6915" width="38" style="360" customWidth="1"/>
    <col min="6916" max="6916" width="8.42578125" style="360" customWidth="1"/>
    <col min="6917" max="6917" width="15.7109375" style="360" customWidth="1"/>
    <col min="6918" max="6918" width="18.28515625" style="360" customWidth="1"/>
    <col min="6919" max="6919" width="17.85546875" style="360" customWidth="1"/>
    <col min="6920" max="6920" width="0" style="360" hidden="1" customWidth="1"/>
    <col min="6921" max="6921" width="33.28515625" style="360" customWidth="1"/>
    <col min="6922" max="7169" width="10.7109375" style="360"/>
    <col min="7170" max="7170" width="13.140625" style="360" customWidth="1"/>
    <col min="7171" max="7171" width="38" style="360" customWidth="1"/>
    <col min="7172" max="7172" width="8.42578125" style="360" customWidth="1"/>
    <col min="7173" max="7173" width="15.7109375" style="360" customWidth="1"/>
    <col min="7174" max="7174" width="18.28515625" style="360" customWidth="1"/>
    <col min="7175" max="7175" width="17.85546875" style="360" customWidth="1"/>
    <col min="7176" max="7176" width="0" style="360" hidden="1" customWidth="1"/>
    <col min="7177" max="7177" width="33.28515625" style="360" customWidth="1"/>
    <col min="7178" max="7425" width="10.7109375" style="360"/>
    <col min="7426" max="7426" width="13.140625" style="360" customWidth="1"/>
    <col min="7427" max="7427" width="38" style="360" customWidth="1"/>
    <col min="7428" max="7428" width="8.42578125" style="360" customWidth="1"/>
    <col min="7429" max="7429" width="15.7109375" style="360" customWidth="1"/>
    <col min="7430" max="7430" width="18.28515625" style="360" customWidth="1"/>
    <col min="7431" max="7431" width="17.85546875" style="360" customWidth="1"/>
    <col min="7432" max="7432" width="0" style="360" hidden="1" customWidth="1"/>
    <col min="7433" max="7433" width="33.28515625" style="360" customWidth="1"/>
    <col min="7434" max="7681" width="10.7109375" style="360"/>
    <col min="7682" max="7682" width="13.140625" style="360" customWidth="1"/>
    <col min="7683" max="7683" width="38" style="360" customWidth="1"/>
    <col min="7684" max="7684" width="8.42578125" style="360" customWidth="1"/>
    <col min="7685" max="7685" width="15.7109375" style="360" customWidth="1"/>
    <col min="7686" max="7686" width="18.28515625" style="360" customWidth="1"/>
    <col min="7687" max="7687" width="17.85546875" style="360" customWidth="1"/>
    <col min="7688" max="7688" width="0" style="360" hidden="1" customWidth="1"/>
    <col min="7689" max="7689" width="33.28515625" style="360" customWidth="1"/>
    <col min="7690" max="7937" width="10.7109375" style="360"/>
    <col min="7938" max="7938" width="13.140625" style="360" customWidth="1"/>
    <col min="7939" max="7939" width="38" style="360" customWidth="1"/>
    <col min="7940" max="7940" width="8.42578125" style="360" customWidth="1"/>
    <col min="7941" max="7941" width="15.7109375" style="360" customWidth="1"/>
    <col min="7942" max="7942" width="18.28515625" style="360" customWidth="1"/>
    <col min="7943" max="7943" width="17.85546875" style="360" customWidth="1"/>
    <col min="7944" max="7944" width="0" style="360" hidden="1" customWidth="1"/>
    <col min="7945" max="7945" width="33.28515625" style="360" customWidth="1"/>
    <col min="7946" max="8193" width="10.7109375" style="360"/>
    <col min="8194" max="8194" width="13.140625" style="360" customWidth="1"/>
    <col min="8195" max="8195" width="38" style="360" customWidth="1"/>
    <col min="8196" max="8196" width="8.42578125" style="360" customWidth="1"/>
    <col min="8197" max="8197" width="15.7109375" style="360" customWidth="1"/>
    <col min="8198" max="8198" width="18.28515625" style="360" customWidth="1"/>
    <col min="8199" max="8199" width="17.85546875" style="360" customWidth="1"/>
    <col min="8200" max="8200" width="0" style="360" hidden="1" customWidth="1"/>
    <col min="8201" max="8201" width="33.28515625" style="360" customWidth="1"/>
    <col min="8202" max="8449" width="10.7109375" style="360"/>
    <col min="8450" max="8450" width="13.140625" style="360" customWidth="1"/>
    <col min="8451" max="8451" width="38" style="360" customWidth="1"/>
    <col min="8452" max="8452" width="8.42578125" style="360" customWidth="1"/>
    <col min="8453" max="8453" width="15.7109375" style="360" customWidth="1"/>
    <col min="8454" max="8454" width="18.28515625" style="360" customWidth="1"/>
    <col min="8455" max="8455" width="17.85546875" style="360" customWidth="1"/>
    <col min="8456" max="8456" width="0" style="360" hidden="1" customWidth="1"/>
    <col min="8457" max="8457" width="33.28515625" style="360" customWidth="1"/>
    <col min="8458" max="8705" width="10.7109375" style="360"/>
    <col min="8706" max="8706" width="13.140625" style="360" customWidth="1"/>
    <col min="8707" max="8707" width="38" style="360" customWidth="1"/>
    <col min="8708" max="8708" width="8.42578125" style="360" customWidth="1"/>
    <col min="8709" max="8709" width="15.7109375" style="360" customWidth="1"/>
    <col min="8710" max="8710" width="18.28515625" style="360" customWidth="1"/>
    <col min="8711" max="8711" width="17.85546875" style="360" customWidth="1"/>
    <col min="8712" max="8712" width="0" style="360" hidden="1" customWidth="1"/>
    <col min="8713" max="8713" width="33.28515625" style="360" customWidth="1"/>
    <col min="8714" max="8961" width="10.7109375" style="360"/>
    <col min="8962" max="8962" width="13.140625" style="360" customWidth="1"/>
    <col min="8963" max="8963" width="38" style="360" customWidth="1"/>
    <col min="8964" max="8964" width="8.42578125" style="360" customWidth="1"/>
    <col min="8965" max="8965" width="15.7109375" style="360" customWidth="1"/>
    <col min="8966" max="8966" width="18.28515625" style="360" customWidth="1"/>
    <col min="8967" max="8967" width="17.85546875" style="360" customWidth="1"/>
    <col min="8968" max="8968" width="0" style="360" hidden="1" customWidth="1"/>
    <col min="8969" max="8969" width="33.28515625" style="360" customWidth="1"/>
    <col min="8970" max="9217" width="10.7109375" style="360"/>
    <col min="9218" max="9218" width="13.140625" style="360" customWidth="1"/>
    <col min="9219" max="9219" width="38" style="360" customWidth="1"/>
    <col min="9220" max="9220" width="8.42578125" style="360" customWidth="1"/>
    <col min="9221" max="9221" width="15.7109375" style="360" customWidth="1"/>
    <col min="9222" max="9222" width="18.28515625" style="360" customWidth="1"/>
    <col min="9223" max="9223" width="17.85546875" style="360" customWidth="1"/>
    <col min="9224" max="9224" width="0" style="360" hidden="1" customWidth="1"/>
    <col min="9225" max="9225" width="33.28515625" style="360" customWidth="1"/>
    <col min="9226" max="9473" width="10.7109375" style="360"/>
    <col min="9474" max="9474" width="13.140625" style="360" customWidth="1"/>
    <col min="9475" max="9475" width="38" style="360" customWidth="1"/>
    <col min="9476" max="9476" width="8.42578125" style="360" customWidth="1"/>
    <col min="9477" max="9477" width="15.7109375" style="360" customWidth="1"/>
    <col min="9478" max="9478" width="18.28515625" style="360" customWidth="1"/>
    <col min="9479" max="9479" width="17.85546875" style="360" customWidth="1"/>
    <col min="9480" max="9480" width="0" style="360" hidden="1" customWidth="1"/>
    <col min="9481" max="9481" width="33.28515625" style="360" customWidth="1"/>
    <col min="9482" max="9729" width="10.7109375" style="360"/>
    <col min="9730" max="9730" width="13.140625" style="360" customWidth="1"/>
    <col min="9731" max="9731" width="38" style="360" customWidth="1"/>
    <col min="9732" max="9732" width="8.42578125" style="360" customWidth="1"/>
    <col min="9733" max="9733" width="15.7109375" style="360" customWidth="1"/>
    <col min="9734" max="9734" width="18.28515625" style="360" customWidth="1"/>
    <col min="9735" max="9735" width="17.85546875" style="360" customWidth="1"/>
    <col min="9736" max="9736" width="0" style="360" hidden="1" customWidth="1"/>
    <col min="9737" max="9737" width="33.28515625" style="360" customWidth="1"/>
    <col min="9738" max="9985" width="10.7109375" style="360"/>
    <col min="9986" max="9986" width="13.140625" style="360" customWidth="1"/>
    <col min="9987" max="9987" width="38" style="360" customWidth="1"/>
    <col min="9988" max="9988" width="8.42578125" style="360" customWidth="1"/>
    <col min="9989" max="9989" width="15.7109375" style="360" customWidth="1"/>
    <col min="9990" max="9990" width="18.28515625" style="360" customWidth="1"/>
    <col min="9991" max="9991" width="17.85546875" style="360" customWidth="1"/>
    <col min="9992" max="9992" width="0" style="360" hidden="1" customWidth="1"/>
    <col min="9993" max="9993" width="33.28515625" style="360" customWidth="1"/>
    <col min="9994" max="10241" width="10.7109375" style="360"/>
    <col min="10242" max="10242" width="13.140625" style="360" customWidth="1"/>
    <col min="10243" max="10243" width="38" style="360" customWidth="1"/>
    <col min="10244" max="10244" width="8.42578125" style="360" customWidth="1"/>
    <col min="10245" max="10245" width="15.7109375" style="360" customWidth="1"/>
    <col min="10246" max="10246" width="18.28515625" style="360" customWidth="1"/>
    <col min="10247" max="10247" width="17.85546875" style="360" customWidth="1"/>
    <col min="10248" max="10248" width="0" style="360" hidden="1" customWidth="1"/>
    <col min="10249" max="10249" width="33.28515625" style="360" customWidth="1"/>
    <col min="10250" max="10497" width="10.7109375" style="360"/>
    <col min="10498" max="10498" width="13.140625" style="360" customWidth="1"/>
    <col min="10499" max="10499" width="38" style="360" customWidth="1"/>
    <col min="10500" max="10500" width="8.42578125" style="360" customWidth="1"/>
    <col min="10501" max="10501" width="15.7109375" style="360" customWidth="1"/>
    <col min="10502" max="10502" width="18.28515625" style="360" customWidth="1"/>
    <col min="10503" max="10503" width="17.85546875" style="360" customWidth="1"/>
    <col min="10504" max="10504" width="0" style="360" hidden="1" customWidth="1"/>
    <col min="10505" max="10505" width="33.28515625" style="360" customWidth="1"/>
    <col min="10506" max="10753" width="10.7109375" style="360"/>
    <col min="10754" max="10754" width="13.140625" style="360" customWidth="1"/>
    <col min="10755" max="10755" width="38" style="360" customWidth="1"/>
    <col min="10756" max="10756" width="8.42578125" style="360" customWidth="1"/>
    <col min="10757" max="10757" width="15.7109375" style="360" customWidth="1"/>
    <col min="10758" max="10758" width="18.28515625" style="360" customWidth="1"/>
    <col min="10759" max="10759" width="17.85546875" style="360" customWidth="1"/>
    <col min="10760" max="10760" width="0" style="360" hidden="1" customWidth="1"/>
    <col min="10761" max="10761" width="33.28515625" style="360" customWidth="1"/>
    <col min="10762" max="11009" width="10.7109375" style="360"/>
    <col min="11010" max="11010" width="13.140625" style="360" customWidth="1"/>
    <col min="11011" max="11011" width="38" style="360" customWidth="1"/>
    <col min="11012" max="11012" width="8.42578125" style="360" customWidth="1"/>
    <col min="11013" max="11013" width="15.7109375" style="360" customWidth="1"/>
    <col min="11014" max="11014" width="18.28515625" style="360" customWidth="1"/>
    <col min="11015" max="11015" width="17.85546875" style="360" customWidth="1"/>
    <col min="11016" max="11016" width="0" style="360" hidden="1" customWidth="1"/>
    <col min="11017" max="11017" width="33.28515625" style="360" customWidth="1"/>
    <col min="11018" max="11265" width="10.7109375" style="360"/>
    <col min="11266" max="11266" width="13.140625" style="360" customWidth="1"/>
    <col min="11267" max="11267" width="38" style="360" customWidth="1"/>
    <col min="11268" max="11268" width="8.42578125" style="360" customWidth="1"/>
    <col min="11269" max="11269" width="15.7109375" style="360" customWidth="1"/>
    <col min="11270" max="11270" width="18.28515625" style="360" customWidth="1"/>
    <col min="11271" max="11271" width="17.85546875" style="360" customWidth="1"/>
    <col min="11272" max="11272" width="0" style="360" hidden="1" customWidth="1"/>
    <col min="11273" max="11273" width="33.28515625" style="360" customWidth="1"/>
    <col min="11274" max="11521" width="10.7109375" style="360"/>
    <col min="11522" max="11522" width="13.140625" style="360" customWidth="1"/>
    <col min="11523" max="11523" width="38" style="360" customWidth="1"/>
    <col min="11524" max="11524" width="8.42578125" style="360" customWidth="1"/>
    <col min="11525" max="11525" width="15.7109375" style="360" customWidth="1"/>
    <col min="11526" max="11526" width="18.28515625" style="360" customWidth="1"/>
    <col min="11527" max="11527" width="17.85546875" style="360" customWidth="1"/>
    <col min="11528" max="11528" width="0" style="360" hidden="1" customWidth="1"/>
    <col min="11529" max="11529" width="33.28515625" style="360" customWidth="1"/>
    <col min="11530" max="11777" width="10.7109375" style="360"/>
    <col min="11778" max="11778" width="13.140625" style="360" customWidth="1"/>
    <col min="11779" max="11779" width="38" style="360" customWidth="1"/>
    <col min="11780" max="11780" width="8.42578125" style="360" customWidth="1"/>
    <col min="11781" max="11781" width="15.7109375" style="360" customWidth="1"/>
    <col min="11782" max="11782" width="18.28515625" style="360" customWidth="1"/>
    <col min="11783" max="11783" width="17.85546875" style="360" customWidth="1"/>
    <col min="11784" max="11784" width="0" style="360" hidden="1" customWidth="1"/>
    <col min="11785" max="11785" width="33.28515625" style="360" customWidth="1"/>
    <col min="11786" max="12033" width="10.7109375" style="360"/>
    <col min="12034" max="12034" width="13.140625" style="360" customWidth="1"/>
    <col min="12035" max="12035" width="38" style="360" customWidth="1"/>
    <col min="12036" max="12036" width="8.42578125" style="360" customWidth="1"/>
    <col min="12037" max="12037" width="15.7109375" style="360" customWidth="1"/>
    <col min="12038" max="12038" width="18.28515625" style="360" customWidth="1"/>
    <col min="12039" max="12039" width="17.85546875" style="360" customWidth="1"/>
    <col min="12040" max="12040" width="0" style="360" hidden="1" customWidth="1"/>
    <col min="12041" max="12041" width="33.28515625" style="360" customWidth="1"/>
    <col min="12042" max="12289" width="10.7109375" style="360"/>
    <col min="12290" max="12290" width="13.140625" style="360" customWidth="1"/>
    <col min="12291" max="12291" width="38" style="360" customWidth="1"/>
    <col min="12292" max="12292" width="8.42578125" style="360" customWidth="1"/>
    <col min="12293" max="12293" width="15.7109375" style="360" customWidth="1"/>
    <col min="12294" max="12294" width="18.28515625" style="360" customWidth="1"/>
    <col min="12295" max="12295" width="17.85546875" style="360" customWidth="1"/>
    <col min="12296" max="12296" width="0" style="360" hidden="1" customWidth="1"/>
    <col min="12297" max="12297" width="33.28515625" style="360" customWidth="1"/>
    <col min="12298" max="12545" width="10.7109375" style="360"/>
    <col min="12546" max="12546" width="13.140625" style="360" customWidth="1"/>
    <col min="12547" max="12547" width="38" style="360" customWidth="1"/>
    <col min="12548" max="12548" width="8.42578125" style="360" customWidth="1"/>
    <col min="12549" max="12549" width="15.7109375" style="360" customWidth="1"/>
    <col min="12550" max="12550" width="18.28515625" style="360" customWidth="1"/>
    <col min="12551" max="12551" width="17.85546875" style="360" customWidth="1"/>
    <col min="12552" max="12552" width="0" style="360" hidden="1" customWidth="1"/>
    <col min="12553" max="12553" width="33.28515625" style="360" customWidth="1"/>
    <col min="12554" max="12801" width="10.7109375" style="360"/>
    <col min="12802" max="12802" width="13.140625" style="360" customWidth="1"/>
    <col min="12803" max="12803" width="38" style="360" customWidth="1"/>
    <col min="12804" max="12804" width="8.42578125" style="360" customWidth="1"/>
    <col min="12805" max="12805" width="15.7109375" style="360" customWidth="1"/>
    <col min="12806" max="12806" width="18.28515625" style="360" customWidth="1"/>
    <col min="12807" max="12807" width="17.85546875" style="360" customWidth="1"/>
    <col min="12808" max="12808" width="0" style="360" hidden="1" customWidth="1"/>
    <col min="12809" max="12809" width="33.28515625" style="360" customWidth="1"/>
    <col min="12810" max="13057" width="10.7109375" style="360"/>
    <col min="13058" max="13058" width="13.140625" style="360" customWidth="1"/>
    <col min="13059" max="13059" width="38" style="360" customWidth="1"/>
    <col min="13060" max="13060" width="8.42578125" style="360" customWidth="1"/>
    <col min="13061" max="13061" width="15.7109375" style="360" customWidth="1"/>
    <col min="13062" max="13062" width="18.28515625" style="360" customWidth="1"/>
    <col min="13063" max="13063" width="17.85546875" style="360" customWidth="1"/>
    <col min="13064" max="13064" width="0" style="360" hidden="1" customWidth="1"/>
    <col min="13065" max="13065" width="33.28515625" style="360" customWidth="1"/>
    <col min="13066" max="13313" width="10.7109375" style="360"/>
    <col min="13314" max="13314" width="13.140625" style="360" customWidth="1"/>
    <col min="13315" max="13315" width="38" style="360" customWidth="1"/>
    <col min="13316" max="13316" width="8.42578125" style="360" customWidth="1"/>
    <col min="13317" max="13317" width="15.7109375" style="360" customWidth="1"/>
    <col min="13318" max="13318" width="18.28515625" style="360" customWidth="1"/>
    <col min="13319" max="13319" width="17.85546875" style="360" customWidth="1"/>
    <col min="13320" max="13320" width="0" style="360" hidden="1" customWidth="1"/>
    <col min="13321" max="13321" width="33.28515625" style="360" customWidth="1"/>
    <col min="13322" max="13569" width="10.7109375" style="360"/>
    <col min="13570" max="13570" width="13.140625" style="360" customWidth="1"/>
    <col min="13571" max="13571" width="38" style="360" customWidth="1"/>
    <col min="13572" max="13572" width="8.42578125" style="360" customWidth="1"/>
    <col min="13573" max="13573" width="15.7109375" style="360" customWidth="1"/>
    <col min="13574" max="13574" width="18.28515625" style="360" customWidth="1"/>
    <col min="13575" max="13575" width="17.85546875" style="360" customWidth="1"/>
    <col min="13576" max="13576" width="0" style="360" hidden="1" customWidth="1"/>
    <col min="13577" max="13577" width="33.28515625" style="360" customWidth="1"/>
    <col min="13578" max="13825" width="10.7109375" style="360"/>
    <col min="13826" max="13826" width="13.140625" style="360" customWidth="1"/>
    <col min="13827" max="13827" width="38" style="360" customWidth="1"/>
    <col min="13828" max="13828" width="8.42578125" style="360" customWidth="1"/>
    <col min="13829" max="13829" width="15.7109375" style="360" customWidth="1"/>
    <col min="13830" max="13830" width="18.28515625" style="360" customWidth="1"/>
    <col min="13831" max="13831" width="17.85546875" style="360" customWidth="1"/>
    <col min="13832" max="13832" width="0" style="360" hidden="1" customWidth="1"/>
    <col min="13833" max="13833" width="33.28515625" style="360" customWidth="1"/>
    <col min="13834" max="14081" width="10.7109375" style="360"/>
    <col min="14082" max="14082" width="13.140625" style="360" customWidth="1"/>
    <col min="14083" max="14083" width="38" style="360" customWidth="1"/>
    <col min="14084" max="14084" width="8.42578125" style="360" customWidth="1"/>
    <col min="14085" max="14085" width="15.7109375" style="360" customWidth="1"/>
    <col min="14086" max="14086" width="18.28515625" style="360" customWidth="1"/>
    <col min="14087" max="14087" width="17.85546875" style="360" customWidth="1"/>
    <col min="14088" max="14088" width="0" style="360" hidden="1" customWidth="1"/>
    <col min="14089" max="14089" width="33.28515625" style="360" customWidth="1"/>
    <col min="14090" max="14337" width="10.7109375" style="360"/>
    <col min="14338" max="14338" width="13.140625" style="360" customWidth="1"/>
    <col min="14339" max="14339" width="38" style="360" customWidth="1"/>
    <col min="14340" max="14340" width="8.42578125" style="360" customWidth="1"/>
    <col min="14341" max="14341" width="15.7109375" style="360" customWidth="1"/>
    <col min="14342" max="14342" width="18.28515625" style="360" customWidth="1"/>
    <col min="14343" max="14343" width="17.85546875" style="360" customWidth="1"/>
    <col min="14344" max="14344" width="0" style="360" hidden="1" customWidth="1"/>
    <col min="14345" max="14345" width="33.28515625" style="360" customWidth="1"/>
    <col min="14346" max="14593" width="10.7109375" style="360"/>
    <col min="14594" max="14594" width="13.140625" style="360" customWidth="1"/>
    <col min="14595" max="14595" width="38" style="360" customWidth="1"/>
    <col min="14596" max="14596" width="8.42578125" style="360" customWidth="1"/>
    <col min="14597" max="14597" width="15.7109375" style="360" customWidth="1"/>
    <col min="14598" max="14598" width="18.28515625" style="360" customWidth="1"/>
    <col min="14599" max="14599" width="17.85546875" style="360" customWidth="1"/>
    <col min="14600" max="14600" width="0" style="360" hidden="1" customWidth="1"/>
    <col min="14601" max="14601" width="33.28515625" style="360" customWidth="1"/>
    <col min="14602" max="14849" width="10.7109375" style="360"/>
    <col min="14850" max="14850" width="13.140625" style="360" customWidth="1"/>
    <col min="14851" max="14851" width="38" style="360" customWidth="1"/>
    <col min="14852" max="14852" width="8.42578125" style="360" customWidth="1"/>
    <col min="14853" max="14853" width="15.7109375" style="360" customWidth="1"/>
    <col min="14854" max="14854" width="18.28515625" style="360" customWidth="1"/>
    <col min="14855" max="14855" width="17.85546875" style="360" customWidth="1"/>
    <col min="14856" max="14856" width="0" style="360" hidden="1" customWidth="1"/>
    <col min="14857" max="14857" width="33.28515625" style="360" customWidth="1"/>
    <col min="14858" max="15105" width="10.7109375" style="360"/>
    <col min="15106" max="15106" width="13.140625" style="360" customWidth="1"/>
    <col min="15107" max="15107" width="38" style="360" customWidth="1"/>
    <col min="15108" max="15108" width="8.42578125" style="360" customWidth="1"/>
    <col min="15109" max="15109" width="15.7109375" style="360" customWidth="1"/>
    <col min="15110" max="15110" width="18.28515625" style="360" customWidth="1"/>
    <col min="15111" max="15111" width="17.85546875" style="360" customWidth="1"/>
    <col min="15112" max="15112" width="0" style="360" hidden="1" customWidth="1"/>
    <col min="15113" max="15113" width="33.28515625" style="360" customWidth="1"/>
    <col min="15114" max="15361" width="10.7109375" style="360"/>
    <col min="15362" max="15362" width="13.140625" style="360" customWidth="1"/>
    <col min="15363" max="15363" width="38" style="360" customWidth="1"/>
    <col min="15364" max="15364" width="8.42578125" style="360" customWidth="1"/>
    <col min="15365" max="15365" width="15.7109375" style="360" customWidth="1"/>
    <col min="15366" max="15366" width="18.28515625" style="360" customWidth="1"/>
    <col min="15367" max="15367" width="17.85546875" style="360" customWidth="1"/>
    <col min="15368" max="15368" width="0" style="360" hidden="1" customWidth="1"/>
    <col min="15369" max="15369" width="33.28515625" style="360" customWidth="1"/>
    <col min="15370" max="15617" width="10.7109375" style="360"/>
    <col min="15618" max="15618" width="13.140625" style="360" customWidth="1"/>
    <col min="15619" max="15619" width="38" style="360" customWidth="1"/>
    <col min="15620" max="15620" width="8.42578125" style="360" customWidth="1"/>
    <col min="15621" max="15621" width="15.7109375" style="360" customWidth="1"/>
    <col min="15622" max="15622" width="18.28515625" style="360" customWidth="1"/>
    <col min="15623" max="15623" width="17.85546875" style="360" customWidth="1"/>
    <col min="15624" max="15624" width="0" style="360" hidden="1" customWidth="1"/>
    <col min="15625" max="15625" width="33.28515625" style="360" customWidth="1"/>
    <col min="15626" max="15873" width="10.7109375" style="360"/>
    <col min="15874" max="15874" width="13.140625" style="360" customWidth="1"/>
    <col min="15875" max="15875" width="38" style="360" customWidth="1"/>
    <col min="15876" max="15876" width="8.42578125" style="360" customWidth="1"/>
    <col min="15877" max="15877" width="15.7109375" style="360" customWidth="1"/>
    <col min="15878" max="15878" width="18.28515625" style="360" customWidth="1"/>
    <col min="15879" max="15879" width="17.85546875" style="360" customWidth="1"/>
    <col min="15880" max="15880" width="0" style="360" hidden="1" customWidth="1"/>
    <col min="15881" max="15881" width="33.28515625" style="360" customWidth="1"/>
    <col min="15882" max="16129" width="10.7109375" style="360"/>
    <col min="16130" max="16130" width="13.140625" style="360" customWidth="1"/>
    <col min="16131" max="16131" width="38" style="360" customWidth="1"/>
    <col min="16132" max="16132" width="8.42578125" style="360" customWidth="1"/>
    <col min="16133" max="16133" width="15.7109375" style="360" customWidth="1"/>
    <col min="16134" max="16134" width="18.28515625" style="360" customWidth="1"/>
    <col min="16135" max="16135" width="17.85546875" style="360" customWidth="1"/>
    <col min="16136" max="16136" width="0" style="360" hidden="1" customWidth="1"/>
    <col min="16137" max="16137" width="33.28515625" style="360" customWidth="1"/>
    <col min="16138" max="16384" width="10.7109375" style="360"/>
  </cols>
  <sheetData>
    <row r="1" spans="1:11" ht="13.9" x14ac:dyDescent="0.3">
      <c r="A1" s="547" t="str">
        <f>'06-DO'!B2</f>
        <v>PROIECT : Extindere infrastructură educațională – Centrul Școlar pentru Educație înclusivă „Constantin Pufan”</v>
      </c>
      <c r="B1" s="356"/>
      <c r="C1" s="357"/>
      <c r="D1" s="767"/>
      <c r="E1" s="358"/>
      <c r="F1" s="358"/>
      <c r="G1" s="359"/>
      <c r="H1" s="359"/>
      <c r="I1" s="359"/>
    </row>
    <row r="2" spans="1:11" ht="13.15" x14ac:dyDescent="0.3">
      <c r="A2" s="361"/>
      <c r="B2" s="356"/>
      <c r="C2" s="357"/>
      <c r="D2" s="767"/>
      <c r="E2" s="358"/>
      <c r="F2" s="358"/>
      <c r="G2" s="359"/>
      <c r="H2" s="359"/>
      <c r="I2" s="359"/>
    </row>
    <row r="3" spans="1:11" ht="13.15" x14ac:dyDescent="0.3">
      <c r="A3" s="359"/>
      <c r="B3" s="362"/>
      <c r="C3" s="357"/>
      <c r="D3" s="767"/>
      <c r="E3" s="358"/>
      <c r="F3" s="358"/>
      <c r="G3" s="359"/>
      <c r="H3" s="359"/>
      <c r="I3" s="359"/>
    </row>
    <row r="4" spans="1:11" ht="13.15" x14ac:dyDescent="0.3">
      <c r="A4" s="1445" t="s">
        <v>1178</v>
      </c>
      <c r="B4" s="1445"/>
      <c r="C4" s="1445"/>
      <c r="D4" s="1445"/>
      <c r="E4" s="1445"/>
      <c r="F4" s="1445"/>
      <c r="G4" s="1445"/>
      <c r="H4" s="1445"/>
      <c r="I4" s="762"/>
    </row>
    <row r="5" spans="1:11" ht="13.15" x14ac:dyDescent="0.3">
      <c r="A5" s="1445" t="s">
        <v>1450</v>
      </c>
      <c r="B5" s="1445"/>
      <c r="C5" s="1445"/>
      <c r="D5" s="1445"/>
      <c r="E5" s="1445"/>
      <c r="F5" s="1445"/>
      <c r="G5" s="1445"/>
      <c r="H5" s="1445"/>
      <c r="I5" s="762"/>
    </row>
    <row r="6" spans="1:11" ht="13.15" x14ac:dyDescent="0.3">
      <c r="A6" s="1445" t="str">
        <f>DG!C65</f>
        <v>OBIECT 6 - Realizare Sala de sport</v>
      </c>
      <c r="B6" s="1445"/>
      <c r="C6" s="1445"/>
      <c r="D6" s="1445"/>
      <c r="E6" s="1445"/>
      <c r="F6" s="1445"/>
      <c r="G6" s="1445"/>
      <c r="H6" s="1445"/>
      <c r="I6" s="548"/>
    </row>
    <row r="7" spans="1:11" ht="13.15" x14ac:dyDescent="0.3">
      <c r="A7" s="762"/>
      <c r="B7" s="762"/>
      <c r="C7" s="762"/>
      <c r="D7" s="548"/>
      <c r="E7" s="762"/>
      <c r="F7" s="762"/>
      <c r="G7" s="762"/>
      <c r="H7" s="762"/>
      <c r="I7" s="762"/>
    </row>
    <row r="8" spans="1:11" ht="13.15" x14ac:dyDescent="0.3">
      <c r="A8" s="359"/>
      <c r="B8" s="362"/>
      <c r="C8" s="357"/>
      <c r="D8" s="766">
        <v>1</v>
      </c>
      <c r="E8" s="358"/>
      <c r="F8" s="358"/>
      <c r="G8" s="359"/>
      <c r="H8" s="359"/>
      <c r="I8" s="359"/>
    </row>
    <row r="9" spans="1:11" ht="38.25" x14ac:dyDescent="0.25">
      <c r="A9" s="1446" t="s">
        <v>1179</v>
      </c>
      <c r="B9" s="1446" t="s">
        <v>1180</v>
      </c>
      <c r="C9" s="1446" t="s">
        <v>1181</v>
      </c>
      <c r="D9" s="1447" t="s">
        <v>1182</v>
      </c>
      <c r="E9" s="1448" t="s">
        <v>1182</v>
      </c>
      <c r="F9" s="763" t="s">
        <v>1183</v>
      </c>
      <c r="G9" s="1446" t="s">
        <v>1184</v>
      </c>
      <c r="H9" s="1446" t="s">
        <v>1185</v>
      </c>
      <c r="I9" s="764" t="s">
        <v>1451</v>
      </c>
      <c r="K9" s="363"/>
    </row>
    <row r="10" spans="1:11" ht="25.5" x14ac:dyDescent="0.25">
      <c r="A10" s="1446"/>
      <c r="B10" s="1446"/>
      <c r="C10" s="1446"/>
      <c r="D10" s="1447"/>
      <c r="E10" s="1448"/>
      <c r="F10" s="763" t="s">
        <v>1186</v>
      </c>
      <c r="G10" s="1446"/>
      <c r="H10" s="1446"/>
      <c r="I10" s="765"/>
      <c r="K10" s="363"/>
    </row>
    <row r="11" spans="1:11" ht="13.15" x14ac:dyDescent="0.3">
      <c r="A11" s="572">
        <v>1</v>
      </c>
      <c r="B11" s="572">
        <v>2</v>
      </c>
      <c r="C11" s="572">
        <v>3</v>
      </c>
      <c r="D11" s="768"/>
      <c r="E11" s="573">
        <v>4</v>
      </c>
      <c r="F11" s="573">
        <v>5</v>
      </c>
      <c r="G11" s="572">
        <v>7</v>
      </c>
      <c r="H11" s="572">
        <v>6</v>
      </c>
      <c r="I11" s="364"/>
    </row>
    <row r="12" spans="1:11" ht="13.15" x14ac:dyDescent="0.3">
      <c r="A12" s="816" t="s">
        <v>1457</v>
      </c>
      <c r="B12" s="817"/>
      <c r="C12" s="574"/>
      <c r="D12" s="772"/>
      <c r="E12" s="575"/>
      <c r="F12" s="575"/>
      <c r="G12" s="576"/>
      <c r="H12" s="577"/>
      <c r="I12" s="530"/>
    </row>
    <row r="13" spans="1:11" ht="26.45" x14ac:dyDescent="0.3">
      <c r="A13" s="366" t="s">
        <v>1458</v>
      </c>
      <c r="B13" s="535"/>
      <c r="C13" s="531"/>
      <c r="D13" s="770">
        <f>2445*0.81</f>
        <v>1980.45</v>
      </c>
      <c r="E13" s="369"/>
      <c r="F13" s="401">
        <f t="shared" ref="F13:F19" si="0">E13*C13</f>
        <v>0</v>
      </c>
      <c r="G13" s="530"/>
      <c r="H13" s="530"/>
      <c r="I13" s="553" t="s">
        <v>1452</v>
      </c>
      <c r="K13" s="559"/>
    </row>
    <row r="14" spans="1:11" ht="14.45" x14ac:dyDescent="0.3">
      <c r="A14" s="366" t="s">
        <v>1459</v>
      </c>
      <c r="B14" s="555"/>
      <c r="C14" s="556"/>
      <c r="D14" s="771">
        <f>34806*0.81</f>
        <v>28192.86</v>
      </c>
      <c r="E14" s="401"/>
      <c r="F14" s="401">
        <f t="shared" si="0"/>
        <v>0</v>
      </c>
      <c r="G14" s="557"/>
      <c r="H14" s="557"/>
      <c r="I14" s="530"/>
      <c r="K14" s="559"/>
    </row>
    <row r="15" spans="1:11" ht="26.45" hidden="1" x14ac:dyDescent="0.3">
      <c r="A15" s="366" t="s">
        <v>1460</v>
      </c>
      <c r="B15" s="555"/>
      <c r="C15" s="556"/>
      <c r="D15" s="771"/>
      <c r="E15" s="401"/>
      <c r="F15" s="401">
        <f t="shared" si="0"/>
        <v>0</v>
      </c>
      <c r="G15" s="557"/>
      <c r="H15" s="557"/>
      <c r="I15" s="553" t="s">
        <v>1453</v>
      </c>
      <c r="K15" s="426"/>
    </row>
    <row r="16" spans="1:11" ht="26.45" hidden="1" x14ac:dyDescent="0.3">
      <c r="A16" s="366" t="s">
        <v>1461</v>
      </c>
      <c r="B16" s="555"/>
      <c r="C16" s="556"/>
      <c r="D16" s="771"/>
      <c r="E16" s="401"/>
      <c r="F16" s="401">
        <f t="shared" si="0"/>
        <v>0</v>
      </c>
      <c r="G16" s="557"/>
      <c r="H16" s="557"/>
      <c r="I16" s="553" t="s">
        <v>1453</v>
      </c>
      <c r="K16" s="426"/>
    </row>
    <row r="17" spans="1:17" ht="26.45" hidden="1" x14ac:dyDescent="0.3">
      <c r="A17" s="366" t="s">
        <v>1462</v>
      </c>
      <c r="B17" s="555"/>
      <c r="C17" s="556"/>
      <c r="D17" s="771"/>
      <c r="E17" s="401"/>
      <c r="F17" s="401">
        <f t="shared" si="0"/>
        <v>0</v>
      </c>
      <c r="G17" s="557"/>
      <c r="H17" s="557"/>
      <c r="I17" s="553" t="s">
        <v>1453</v>
      </c>
    </row>
    <row r="18" spans="1:17" ht="26.45" hidden="1" x14ac:dyDescent="0.3">
      <c r="A18" s="366" t="s">
        <v>1463</v>
      </c>
      <c r="B18" s="555"/>
      <c r="C18" s="556"/>
      <c r="D18" s="771"/>
      <c r="E18" s="401"/>
      <c r="F18" s="401">
        <f t="shared" si="0"/>
        <v>0</v>
      </c>
      <c r="G18" s="557"/>
      <c r="H18" s="557"/>
      <c r="I18" s="553" t="s">
        <v>1454</v>
      </c>
    </row>
    <row r="19" spans="1:17" ht="26.45" hidden="1" x14ac:dyDescent="0.3">
      <c r="A19" s="366" t="s">
        <v>1464</v>
      </c>
      <c r="B19" s="555"/>
      <c r="C19" s="556"/>
      <c r="D19" s="771"/>
      <c r="E19" s="401"/>
      <c r="F19" s="401">
        <f t="shared" si="0"/>
        <v>0</v>
      </c>
      <c r="G19" s="557"/>
      <c r="H19" s="557"/>
      <c r="I19" s="553" t="s">
        <v>1453</v>
      </c>
    </row>
    <row r="20" spans="1:17" ht="26.45" hidden="1" x14ac:dyDescent="0.3">
      <c r="A20" s="366" t="s">
        <v>1465</v>
      </c>
      <c r="B20" s="555"/>
      <c r="C20" s="556"/>
      <c r="D20" s="771"/>
      <c r="E20" s="401"/>
      <c r="F20" s="401">
        <f t="shared" ref="F20" si="1">E20*C20</f>
        <v>0</v>
      </c>
      <c r="G20" s="557"/>
      <c r="H20" s="557"/>
      <c r="I20" s="553" t="s">
        <v>1453</v>
      </c>
      <c r="K20" s="426"/>
    </row>
    <row r="21" spans="1:17" ht="13.15" x14ac:dyDescent="0.3">
      <c r="A21" s="1444" t="s">
        <v>545</v>
      </c>
      <c r="B21" s="1444"/>
      <c r="C21" s="1444"/>
      <c r="D21" s="1444"/>
      <c r="E21" s="1444"/>
      <c r="F21" s="370">
        <f>SUM(F12:F20)</f>
        <v>0</v>
      </c>
      <c r="G21" s="1444" t="s">
        <v>1188</v>
      </c>
      <c r="H21" s="1444"/>
      <c r="I21" s="761"/>
    </row>
    <row r="22" spans="1:17" ht="13.15" x14ac:dyDescent="0.3">
      <c r="A22" s="359"/>
      <c r="B22" s="371"/>
      <c r="C22" s="372"/>
      <c r="D22" s="773"/>
      <c r="E22" s="358"/>
      <c r="F22" s="358"/>
      <c r="G22" s="359"/>
      <c r="H22" s="359"/>
      <c r="I22" s="359"/>
    </row>
    <row r="23" spans="1:17" ht="13.9" x14ac:dyDescent="0.25">
      <c r="A23" s="359"/>
      <c r="B23" s="363"/>
      <c r="C23" s="357"/>
      <c r="D23" s="767"/>
      <c r="E23" s="358"/>
      <c r="F23" s="358"/>
      <c r="G23" s="359"/>
      <c r="H23" s="44" t="s">
        <v>82</v>
      </c>
      <c r="I23" s="44"/>
    </row>
    <row r="24" spans="1:17" ht="13.9" x14ac:dyDescent="0.25">
      <c r="A24" s="359"/>
      <c r="B24" s="371"/>
      <c r="C24" s="357"/>
      <c r="D24" s="767"/>
      <c r="E24" s="358"/>
      <c r="F24" s="358"/>
      <c r="G24" s="359"/>
      <c r="H24" s="45"/>
      <c r="I24" s="45"/>
    </row>
    <row r="25" spans="1:17" ht="13.9" x14ac:dyDescent="0.25">
      <c r="A25" s="359"/>
      <c r="B25" s="362"/>
      <c r="C25" s="357"/>
      <c r="D25" s="767"/>
      <c r="E25" s="358"/>
      <c r="F25" s="358"/>
      <c r="G25" s="359"/>
      <c r="H25" s="44" t="s">
        <v>1516</v>
      </c>
      <c r="I25" s="44"/>
    </row>
    <row r="26" spans="1:17" ht="13.9" x14ac:dyDescent="0.25">
      <c r="A26" s="359"/>
      <c r="B26" s="371"/>
      <c r="C26" s="357"/>
      <c r="D26" s="767"/>
      <c r="E26" s="358"/>
      <c r="F26" s="358"/>
      <c r="G26" s="359"/>
      <c r="H26" s="45" t="s">
        <v>83</v>
      </c>
      <c r="I26" s="45"/>
    </row>
    <row r="27" spans="1:17" ht="13.9" x14ac:dyDescent="0.25">
      <c r="A27" s="359"/>
      <c r="B27" s="362"/>
      <c r="C27" s="357"/>
      <c r="D27" s="767"/>
      <c r="E27" s="358"/>
      <c r="F27" s="358"/>
      <c r="G27" s="359"/>
      <c r="H27" s="45" t="s">
        <v>1517</v>
      </c>
      <c r="I27" s="45"/>
    </row>
    <row r="28" spans="1:17" ht="13.15" x14ac:dyDescent="0.3">
      <c r="A28" s="359"/>
      <c r="B28" s="371"/>
      <c r="C28" s="357"/>
      <c r="D28" s="767"/>
      <c r="E28" s="358"/>
      <c r="F28" s="358"/>
      <c r="G28" s="359"/>
      <c r="H28" s="359"/>
      <c r="I28" s="359"/>
    </row>
    <row r="30" spans="1:17" ht="13.15" x14ac:dyDescent="0.3">
      <c r="A30" s="378"/>
    </row>
    <row r="31" spans="1:17" ht="13.15" x14ac:dyDescent="0.3">
      <c r="A31" s="378"/>
      <c r="B31" s="360"/>
      <c r="H31" s="379"/>
      <c r="I31" s="379"/>
    </row>
    <row r="32" spans="1:17" ht="13.15" x14ac:dyDescent="0.3">
      <c r="A32" s="378"/>
      <c r="B32" s="360"/>
      <c r="J32" s="374"/>
      <c r="K32" s="374"/>
      <c r="L32" s="374"/>
      <c r="M32" s="374"/>
      <c r="N32" s="374"/>
      <c r="O32" s="374"/>
      <c r="P32" s="374"/>
      <c r="Q32" s="374"/>
    </row>
    <row r="33" spans="1:17" ht="13.15" x14ac:dyDescent="0.3">
      <c r="A33" s="378"/>
      <c r="B33" s="360"/>
      <c r="H33" s="379"/>
      <c r="I33" s="379"/>
      <c r="J33" s="374"/>
      <c r="K33" s="374"/>
      <c r="L33" s="374"/>
      <c r="M33" s="374"/>
      <c r="N33" s="374"/>
      <c r="O33" s="374"/>
      <c r="P33" s="374"/>
      <c r="Q33" s="374"/>
    </row>
    <row r="34" spans="1:17" ht="13.15" x14ac:dyDescent="0.3">
      <c r="A34" s="378"/>
      <c r="B34" s="360"/>
      <c r="J34" s="374"/>
      <c r="K34" s="374"/>
      <c r="L34" s="374"/>
      <c r="M34" s="374"/>
      <c r="N34" s="374"/>
      <c r="O34" s="374"/>
      <c r="P34" s="374"/>
      <c r="Q34" s="374"/>
    </row>
    <row r="35" spans="1:17" ht="13.15" x14ac:dyDescent="0.3">
      <c r="A35" s="378"/>
      <c r="B35" s="360"/>
      <c r="J35" s="374"/>
      <c r="K35" s="374"/>
      <c r="L35" s="374"/>
      <c r="M35" s="374"/>
      <c r="N35" s="374"/>
      <c r="O35" s="374"/>
      <c r="P35" s="374"/>
      <c r="Q35" s="374"/>
    </row>
    <row r="36" spans="1:17" ht="13.15" x14ac:dyDescent="0.3">
      <c r="A36" s="378"/>
      <c r="B36" s="360"/>
      <c r="H36" s="379"/>
      <c r="I36" s="379"/>
      <c r="J36" s="374"/>
      <c r="K36" s="374"/>
      <c r="L36" s="374"/>
      <c r="M36" s="374"/>
      <c r="N36" s="374"/>
      <c r="O36" s="374"/>
      <c r="P36" s="374"/>
      <c r="Q36" s="374"/>
    </row>
    <row r="37" spans="1:17" ht="13.15" x14ac:dyDescent="0.3">
      <c r="A37" s="378"/>
      <c r="B37" s="363"/>
      <c r="H37" s="379"/>
      <c r="I37" s="379"/>
      <c r="J37" s="374"/>
      <c r="K37" s="374"/>
      <c r="L37" s="374"/>
      <c r="M37" s="374"/>
      <c r="N37" s="374"/>
      <c r="O37" s="374"/>
      <c r="P37" s="374"/>
      <c r="Q37" s="374"/>
    </row>
    <row r="38" spans="1:17" ht="13.15" x14ac:dyDescent="0.3">
      <c r="A38" s="378"/>
      <c r="B38" s="360"/>
      <c r="H38" s="379"/>
      <c r="I38" s="379"/>
      <c r="J38" s="374"/>
      <c r="K38" s="374"/>
      <c r="L38" s="374"/>
      <c r="M38" s="374"/>
      <c r="N38" s="374"/>
      <c r="O38" s="374"/>
      <c r="P38" s="374"/>
      <c r="Q38" s="374"/>
    </row>
    <row r="39" spans="1:17" ht="13.15" x14ac:dyDescent="0.3">
      <c r="A39" s="378"/>
      <c r="B39" s="360"/>
      <c r="H39" s="379"/>
      <c r="I39" s="379"/>
      <c r="J39" s="374"/>
      <c r="K39" s="374"/>
      <c r="L39" s="374"/>
      <c r="M39" s="374"/>
      <c r="N39" s="374"/>
      <c r="O39" s="374"/>
      <c r="P39" s="374"/>
      <c r="Q39" s="374"/>
    </row>
    <row r="40" spans="1:17" x14ac:dyDescent="0.25">
      <c r="A40" s="378"/>
      <c r="B40" s="360"/>
      <c r="H40" s="379"/>
      <c r="I40" s="379"/>
      <c r="J40" s="374"/>
      <c r="K40" s="374"/>
      <c r="L40" s="374"/>
      <c r="M40" s="374"/>
      <c r="N40" s="374"/>
      <c r="O40" s="374"/>
      <c r="P40" s="374"/>
      <c r="Q40" s="374"/>
    </row>
    <row r="41" spans="1:17" x14ac:dyDescent="0.25">
      <c r="A41" s="378"/>
      <c r="B41" s="360"/>
      <c r="H41" s="379"/>
      <c r="I41" s="379"/>
      <c r="J41" s="374"/>
      <c r="K41" s="374"/>
      <c r="L41" s="374"/>
      <c r="M41" s="374"/>
      <c r="N41" s="374"/>
      <c r="O41" s="374"/>
      <c r="P41" s="374"/>
      <c r="Q41" s="374"/>
    </row>
    <row r="42" spans="1:17" x14ac:dyDescent="0.25">
      <c r="A42" s="378"/>
      <c r="B42" s="360"/>
      <c r="H42" s="379"/>
      <c r="I42" s="379"/>
      <c r="J42" s="374"/>
      <c r="K42" s="374"/>
      <c r="L42" s="374"/>
      <c r="M42" s="374"/>
      <c r="N42" s="374"/>
      <c r="O42" s="374"/>
      <c r="P42" s="374"/>
      <c r="Q42" s="374"/>
    </row>
    <row r="43" spans="1:17" x14ac:dyDescent="0.25">
      <c r="A43" s="378"/>
      <c r="B43" s="360"/>
      <c r="H43" s="379"/>
      <c r="I43" s="379"/>
      <c r="J43" s="374"/>
      <c r="K43" s="374"/>
      <c r="L43" s="374"/>
      <c r="M43" s="374"/>
      <c r="N43" s="374"/>
      <c r="O43" s="374"/>
      <c r="P43" s="374"/>
      <c r="Q43" s="374"/>
    </row>
    <row r="44" spans="1:17" x14ac:dyDescent="0.25">
      <c r="A44" s="376"/>
      <c r="B44" s="360"/>
      <c r="E44" s="380"/>
      <c r="F44" s="380"/>
      <c r="G44" s="374"/>
      <c r="H44" s="374"/>
      <c r="I44" s="374"/>
      <c r="J44" s="374"/>
      <c r="K44" s="374"/>
      <c r="L44" s="374"/>
      <c r="M44" s="374"/>
      <c r="N44" s="374"/>
      <c r="O44" s="374"/>
      <c r="P44" s="374"/>
      <c r="Q44" s="374"/>
    </row>
    <row r="45" spans="1:17" x14ac:dyDescent="0.25">
      <c r="A45" s="376"/>
      <c r="B45" s="360"/>
      <c r="E45" s="380"/>
      <c r="F45" s="380"/>
      <c r="G45" s="374"/>
      <c r="H45" s="374"/>
      <c r="I45" s="374"/>
      <c r="J45" s="374"/>
      <c r="K45" s="374"/>
      <c r="L45" s="374"/>
      <c r="M45" s="374"/>
      <c r="N45" s="374"/>
      <c r="O45" s="374"/>
      <c r="P45" s="374"/>
      <c r="Q45" s="374"/>
    </row>
    <row r="46" spans="1:17" x14ac:dyDescent="0.25">
      <c r="B46" s="360"/>
      <c r="E46" s="380"/>
      <c r="F46" s="380"/>
      <c r="G46" s="374"/>
      <c r="H46" s="374"/>
      <c r="I46" s="374"/>
      <c r="J46" s="374"/>
      <c r="K46" s="374"/>
      <c r="L46" s="374"/>
      <c r="M46" s="374"/>
      <c r="N46" s="374"/>
      <c r="O46" s="374"/>
      <c r="P46" s="374"/>
      <c r="Q46" s="374"/>
    </row>
    <row r="47" spans="1:17" x14ac:dyDescent="0.25">
      <c r="B47" s="360"/>
      <c r="E47" s="380"/>
      <c r="F47" s="380"/>
      <c r="G47" s="374"/>
      <c r="H47" s="374"/>
      <c r="I47" s="374"/>
      <c r="J47" s="374"/>
      <c r="K47" s="374"/>
      <c r="L47" s="374"/>
      <c r="M47" s="374"/>
      <c r="N47" s="374"/>
      <c r="O47" s="374"/>
      <c r="P47" s="374"/>
      <c r="Q47" s="374"/>
    </row>
    <row r="48" spans="1:17" x14ac:dyDescent="0.25">
      <c r="A48" s="376"/>
      <c r="B48" s="360"/>
      <c r="E48" s="380"/>
      <c r="F48" s="380"/>
      <c r="G48" s="374"/>
      <c r="H48" s="374"/>
      <c r="I48" s="374"/>
      <c r="J48" s="374"/>
      <c r="K48" s="374"/>
      <c r="L48" s="374"/>
      <c r="M48" s="374"/>
      <c r="N48" s="374"/>
      <c r="O48" s="374"/>
      <c r="P48" s="374"/>
      <c r="Q48" s="374"/>
    </row>
    <row r="49" spans="1:17" x14ac:dyDescent="0.25">
      <c r="A49" s="376"/>
      <c r="B49" s="360"/>
      <c r="E49" s="380"/>
      <c r="F49" s="380"/>
      <c r="G49" s="374"/>
      <c r="H49" s="374"/>
      <c r="I49" s="374"/>
      <c r="J49" s="374"/>
      <c r="K49" s="374"/>
      <c r="L49" s="374"/>
      <c r="M49" s="374"/>
      <c r="N49" s="374"/>
      <c r="O49" s="374"/>
      <c r="P49" s="374"/>
      <c r="Q49" s="374"/>
    </row>
    <row r="50" spans="1:17" x14ac:dyDescent="0.25">
      <c r="A50" s="376"/>
      <c r="B50" s="360"/>
      <c r="E50" s="380"/>
      <c r="F50" s="380"/>
      <c r="G50" s="374"/>
      <c r="H50" s="374"/>
      <c r="I50" s="374"/>
      <c r="J50" s="374"/>
      <c r="K50" s="374"/>
      <c r="L50" s="374"/>
      <c r="M50" s="374"/>
      <c r="N50" s="374"/>
      <c r="O50" s="374"/>
      <c r="P50" s="374"/>
      <c r="Q50" s="374"/>
    </row>
    <row r="51" spans="1:17" x14ac:dyDescent="0.25">
      <c r="A51" s="376"/>
      <c r="B51" s="360"/>
      <c r="E51" s="380"/>
      <c r="F51" s="380"/>
      <c r="G51" s="374"/>
      <c r="H51" s="374"/>
      <c r="I51" s="374"/>
      <c r="J51" s="374"/>
      <c r="K51" s="374"/>
      <c r="L51" s="374"/>
      <c r="M51" s="374"/>
      <c r="N51" s="374"/>
      <c r="O51" s="374"/>
      <c r="P51" s="374"/>
      <c r="Q51" s="374"/>
    </row>
    <row r="52" spans="1:17" x14ac:dyDescent="0.25">
      <c r="A52" s="376"/>
      <c r="B52" s="360"/>
      <c r="E52" s="380"/>
      <c r="F52" s="380"/>
      <c r="G52" s="374"/>
      <c r="H52" s="374"/>
      <c r="I52" s="374"/>
      <c r="J52" s="374"/>
      <c r="K52" s="374"/>
      <c r="L52" s="374"/>
      <c r="M52" s="374"/>
      <c r="N52" s="374"/>
      <c r="O52" s="374"/>
      <c r="P52" s="374"/>
      <c r="Q52" s="374"/>
    </row>
    <row r="53" spans="1:17" x14ac:dyDescent="0.25">
      <c r="A53" s="376"/>
      <c r="B53" s="360"/>
      <c r="E53" s="380"/>
      <c r="F53" s="380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</row>
    <row r="54" spans="1:17" x14ac:dyDescent="0.25">
      <c r="A54" s="376"/>
      <c r="E54" s="380"/>
      <c r="F54" s="380"/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</row>
    <row r="55" spans="1:17" x14ac:dyDescent="0.25">
      <c r="A55" s="376"/>
      <c r="E55" s="380"/>
      <c r="F55" s="380"/>
      <c r="G55" s="374"/>
      <c r="H55" s="374"/>
      <c r="I55" s="374"/>
      <c r="J55" s="374"/>
      <c r="K55" s="374"/>
      <c r="L55" s="374"/>
      <c r="M55" s="374"/>
      <c r="N55" s="374"/>
      <c r="O55" s="374"/>
      <c r="P55" s="374"/>
      <c r="Q55" s="374"/>
    </row>
    <row r="56" spans="1:17" x14ac:dyDescent="0.25">
      <c r="A56" s="376"/>
      <c r="B56" s="360"/>
      <c r="E56" s="380"/>
      <c r="F56" s="380"/>
      <c r="G56" s="374"/>
      <c r="H56" s="374"/>
      <c r="I56" s="374"/>
      <c r="J56" s="374"/>
      <c r="K56" s="374"/>
      <c r="L56" s="374"/>
      <c r="M56" s="374"/>
      <c r="N56" s="374"/>
      <c r="O56" s="374"/>
      <c r="P56" s="374"/>
      <c r="Q56" s="374"/>
    </row>
    <row r="57" spans="1:17" x14ac:dyDescent="0.25">
      <c r="A57" s="376"/>
      <c r="E57" s="380"/>
      <c r="F57" s="380"/>
      <c r="G57" s="374"/>
      <c r="H57" s="374"/>
      <c r="I57" s="374"/>
      <c r="J57" s="374"/>
      <c r="K57" s="374"/>
      <c r="L57" s="374"/>
      <c r="M57" s="374"/>
      <c r="N57" s="374"/>
      <c r="O57" s="374"/>
      <c r="P57" s="374"/>
      <c r="Q57" s="374"/>
    </row>
    <row r="58" spans="1:17" x14ac:dyDescent="0.25">
      <c r="A58" s="376"/>
      <c r="E58" s="380"/>
      <c r="F58" s="380"/>
      <c r="G58" s="374"/>
      <c r="H58" s="374"/>
      <c r="I58" s="374"/>
      <c r="J58" s="374"/>
      <c r="K58" s="374"/>
      <c r="L58" s="374"/>
      <c r="M58" s="374"/>
      <c r="N58" s="374"/>
      <c r="O58" s="374"/>
      <c r="P58" s="374"/>
      <c r="Q58" s="374"/>
    </row>
    <row r="59" spans="1:17" x14ac:dyDescent="0.25">
      <c r="A59" s="376"/>
      <c r="E59" s="380"/>
      <c r="F59" s="380"/>
      <c r="G59" s="374"/>
      <c r="H59" s="374"/>
      <c r="I59" s="374"/>
      <c r="J59" s="374"/>
      <c r="K59" s="374"/>
      <c r="L59" s="374"/>
      <c r="M59" s="374"/>
      <c r="N59" s="374"/>
      <c r="O59" s="374"/>
      <c r="P59" s="374"/>
      <c r="Q59" s="374"/>
    </row>
    <row r="60" spans="1:17" x14ac:dyDescent="0.25">
      <c r="A60" s="376"/>
      <c r="E60" s="380"/>
      <c r="F60" s="380"/>
      <c r="G60" s="374"/>
      <c r="H60" s="374"/>
      <c r="I60" s="374"/>
      <c r="J60" s="374"/>
      <c r="K60" s="374"/>
      <c r="L60" s="374"/>
      <c r="M60" s="374"/>
      <c r="N60" s="374"/>
      <c r="O60" s="374"/>
      <c r="P60" s="374"/>
      <c r="Q60" s="374"/>
    </row>
    <row r="61" spans="1:17" x14ac:dyDescent="0.25">
      <c r="A61" s="376"/>
      <c r="E61" s="380"/>
      <c r="F61" s="380"/>
      <c r="G61" s="374"/>
      <c r="H61" s="374"/>
      <c r="I61" s="374"/>
      <c r="J61" s="374"/>
      <c r="K61" s="374"/>
      <c r="L61" s="374"/>
      <c r="M61" s="374"/>
      <c r="N61" s="374"/>
      <c r="O61" s="374"/>
      <c r="P61" s="374"/>
      <c r="Q61" s="374"/>
    </row>
    <row r="62" spans="1:17" x14ac:dyDescent="0.25">
      <c r="A62" s="376"/>
      <c r="E62" s="380"/>
      <c r="F62" s="380"/>
      <c r="G62" s="374"/>
      <c r="H62" s="374"/>
      <c r="I62" s="374"/>
      <c r="J62" s="374"/>
      <c r="K62" s="374"/>
      <c r="L62" s="374"/>
      <c r="M62" s="374"/>
      <c r="N62" s="374"/>
      <c r="O62" s="374"/>
      <c r="P62" s="374"/>
      <c r="Q62" s="374"/>
    </row>
    <row r="63" spans="1:17" x14ac:dyDescent="0.25">
      <c r="A63" s="376"/>
      <c r="E63" s="380"/>
      <c r="F63" s="380"/>
      <c r="G63" s="374"/>
      <c r="H63" s="374"/>
      <c r="I63" s="374"/>
      <c r="J63" s="374"/>
      <c r="K63" s="374"/>
      <c r="L63" s="374"/>
      <c r="M63" s="374"/>
      <c r="N63" s="374"/>
      <c r="O63" s="374"/>
      <c r="P63" s="374"/>
      <c r="Q63" s="374"/>
    </row>
    <row r="64" spans="1:17" x14ac:dyDescent="0.25">
      <c r="B64" s="360"/>
      <c r="E64" s="380"/>
      <c r="F64" s="380"/>
      <c r="G64" s="374"/>
      <c r="H64" s="374"/>
      <c r="I64" s="374"/>
      <c r="J64" s="374"/>
      <c r="K64" s="374"/>
      <c r="L64" s="374"/>
      <c r="M64" s="374"/>
      <c r="N64" s="374"/>
      <c r="O64" s="374"/>
      <c r="P64" s="374"/>
      <c r="Q64" s="374"/>
    </row>
    <row r="65" spans="1:18" x14ac:dyDescent="0.25">
      <c r="B65" s="360"/>
      <c r="E65" s="380"/>
      <c r="F65" s="380"/>
      <c r="G65" s="374"/>
      <c r="H65" s="374"/>
      <c r="I65" s="374"/>
      <c r="J65" s="374"/>
      <c r="K65" s="374"/>
      <c r="L65" s="374"/>
      <c r="M65" s="374"/>
      <c r="N65" s="374"/>
      <c r="O65" s="374"/>
      <c r="P65" s="374"/>
      <c r="Q65" s="374"/>
    </row>
    <row r="66" spans="1:18" x14ac:dyDescent="0.25">
      <c r="B66" s="360"/>
      <c r="E66" s="380"/>
      <c r="F66" s="380"/>
      <c r="G66" s="374"/>
      <c r="H66" s="374"/>
      <c r="I66" s="374"/>
      <c r="J66" s="374"/>
      <c r="K66" s="374"/>
      <c r="L66" s="374"/>
      <c r="M66" s="374"/>
      <c r="N66" s="374"/>
      <c r="O66" s="374"/>
      <c r="P66" s="374"/>
      <c r="Q66" s="374"/>
    </row>
    <row r="67" spans="1:18" x14ac:dyDescent="0.25">
      <c r="A67" s="376"/>
      <c r="B67" s="360"/>
      <c r="E67" s="380"/>
      <c r="F67" s="380"/>
      <c r="G67" s="374"/>
      <c r="H67" s="374"/>
      <c r="I67" s="374"/>
      <c r="J67" s="374"/>
      <c r="K67" s="374"/>
      <c r="L67" s="374"/>
      <c r="M67" s="374"/>
      <c r="N67" s="374"/>
      <c r="O67" s="374"/>
      <c r="P67" s="374"/>
      <c r="Q67" s="374"/>
    </row>
    <row r="68" spans="1:18" x14ac:dyDescent="0.25">
      <c r="A68" s="376"/>
      <c r="B68" s="360"/>
      <c r="E68" s="380"/>
      <c r="F68" s="380"/>
      <c r="G68" s="374"/>
      <c r="H68" s="374"/>
      <c r="I68" s="374"/>
      <c r="J68" s="374"/>
      <c r="K68" s="374"/>
      <c r="L68" s="374"/>
      <c r="M68" s="374"/>
      <c r="N68" s="374"/>
      <c r="O68" s="374"/>
      <c r="P68" s="374"/>
      <c r="Q68" s="374"/>
    </row>
    <row r="69" spans="1:18" x14ac:dyDescent="0.25">
      <c r="A69" s="376"/>
      <c r="B69" s="360"/>
      <c r="E69" s="380"/>
      <c r="F69" s="380"/>
      <c r="G69" s="374"/>
      <c r="H69" s="374"/>
      <c r="I69" s="374"/>
      <c r="J69" s="374"/>
      <c r="K69" s="374"/>
      <c r="L69" s="374"/>
      <c r="M69" s="374"/>
      <c r="N69" s="374"/>
      <c r="O69" s="374"/>
      <c r="P69" s="374"/>
      <c r="Q69" s="374"/>
    </row>
    <row r="70" spans="1:18" x14ac:dyDescent="0.25">
      <c r="A70" s="376"/>
      <c r="B70" s="360"/>
      <c r="E70" s="380"/>
      <c r="F70" s="380"/>
      <c r="G70" s="374"/>
      <c r="H70" s="374"/>
      <c r="I70" s="374"/>
      <c r="J70" s="374"/>
      <c r="K70" s="374"/>
      <c r="L70" s="374"/>
      <c r="M70" s="374"/>
      <c r="N70" s="374"/>
      <c r="O70" s="374"/>
      <c r="P70" s="374"/>
      <c r="Q70" s="374"/>
    </row>
    <row r="71" spans="1:18" x14ac:dyDescent="0.25">
      <c r="A71" s="376"/>
      <c r="B71" s="360"/>
      <c r="E71" s="380"/>
      <c r="F71" s="380"/>
      <c r="G71" s="374"/>
      <c r="H71" s="374"/>
      <c r="I71" s="374"/>
      <c r="J71" s="374"/>
      <c r="K71" s="374"/>
      <c r="L71" s="374"/>
      <c r="M71" s="374"/>
      <c r="N71" s="374"/>
      <c r="O71" s="374"/>
      <c r="P71" s="374"/>
      <c r="Q71" s="374"/>
    </row>
    <row r="72" spans="1:18" x14ac:dyDescent="0.25">
      <c r="A72" s="376"/>
      <c r="B72" s="360"/>
      <c r="E72" s="380"/>
      <c r="F72" s="380"/>
      <c r="G72" s="374"/>
      <c r="H72" s="374"/>
      <c r="I72" s="374"/>
      <c r="J72" s="374"/>
      <c r="K72" s="374"/>
      <c r="L72" s="374"/>
      <c r="M72" s="374"/>
      <c r="N72" s="374"/>
      <c r="O72" s="374"/>
      <c r="P72" s="374"/>
      <c r="Q72" s="374"/>
    </row>
    <row r="73" spans="1:18" x14ac:dyDescent="0.25">
      <c r="A73" s="376"/>
      <c r="B73" s="360"/>
      <c r="E73" s="380"/>
      <c r="F73" s="380"/>
      <c r="G73" s="374"/>
      <c r="H73" s="374"/>
      <c r="I73" s="374"/>
      <c r="J73" s="374"/>
      <c r="K73" s="374"/>
      <c r="L73" s="374"/>
      <c r="M73" s="374"/>
      <c r="N73" s="374"/>
      <c r="O73" s="374"/>
      <c r="P73" s="374"/>
      <c r="Q73" s="374"/>
    </row>
    <row r="74" spans="1:18" x14ac:dyDescent="0.25">
      <c r="A74" s="376"/>
      <c r="B74" s="360"/>
      <c r="E74" s="380"/>
      <c r="F74" s="380"/>
      <c r="G74" s="374"/>
      <c r="H74" s="374"/>
      <c r="I74" s="374"/>
      <c r="J74" s="374"/>
      <c r="K74" s="374"/>
      <c r="L74" s="374"/>
      <c r="M74" s="374"/>
      <c r="N74" s="374"/>
      <c r="O74" s="374"/>
      <c r="P74" s="374"/>
      <c r="Q74" s="374"/>
    </row>
    <row r="75" spans="1:18" x14ac:dyDescent="0.25">
      <c r="B75" s="360"/>
      <c r="E75" s="380"/>
      <c r="F75" s="380"/>
      <c r="G75" s="374"/>
      <c r="H75" s="374"/>
      <c r="I75" s="374"/>
      <c r="J75" s="374"/>
      <c r="K75" s="374"/>
      <c r="L75" s="374"/>
      <c r="M75" s="374"/>
      <c r="N75" s="374"/>
      <c r="O75" s="374"/>
      <c r="P75" s="374"/>
      <c r="Q75" s="374"/>
    </row>
    <row r="76" spans="1:18" x14ac:dyDescent="0.25">
      <c r="C76" s="381"/>
      <c r="D76" s="775"/>
      <c r="E76" s="382"/>
    </row>
    <row r="77" spans="1:18" s="375" customFormat="1" x14ac:dyDescent="0.25">
      <c r="A77" s="376"/>
      <c r="B77" s="373"/>
      <c r="C77" s="381"/>
      <c r="D77" s="775"/>
      <c r="E77" s="382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</row>
    <row r="78" spans="1:18" s="375" customFormat="1" x14ac:dyDescent="0.25">
      <c r="A78" s="376"/>
      <c r="B78" s="373"/>
      <c r="C78" s="381"/>
      <c r="D78" s="775"/>
      <c r="E78" s="382"/>
      <c r="G78" s="360"/>
      <c r="H78" s="360"/>
      <c r="I78" s="360"/>
      <c r="J78" s="360"/>
      <c r="K78" s="360"/>
      <c r="L78" s="360"/>
      <c r="M78" s="360"/>
      <c r="N78" s="360"/>
      <c r="O78" s="360"/>
      <c r="P78" s="360"/>
      <c r="Q78" s="360"/>
      <c r="R78" s="360"/>
    </row>
    <row r="79" spans="1:18" s="375" customFormat="1" x14ac:dyDescent="0.25">
      <c r="A79" s="376"/>
      <c r="B79" s="373"/>
      <c r="C79" s="381"/>
      <c r="D79" s="775"/>
      <c r="E79" s="382"/>
      <c r="G79" s="360"/>
      <c r="H79" s="360"/>
      <c r="I79" s="360"/>
      <c r="J79" s="360"/>
      <c r="K79" s="360"/>
      <c r="L79" s="360"/>
      <c r="M79" s="360"/>
      <c r="N79" s="360"/>
      <c r="O79" s="360"/>
      <c r="P79" s="360"/>
      <c r="Q79" s="360"/>
      <c r="R79" s="360"/>
    </row>
    <row r="80" spans="1:18" s="375" customFormat="1" x14ac:dyDescent="0.25">
      <c r="A80" s="376"/>
      <c r="B80" s="360"/>
      <c r="C80" s="381"/>
      <c r="D80" s="775"/>
      <c r="E80" s="382"/>
      <c r="G80" s="360"/>
      <c r="H80" s="360"/>
      <c r="I80" s="360"/>
      <c r="J80" s="360"/>
      <c r="K80" s="360"/>
      <c r="L80" s="360"/>
      <c r="M80" s="360"/>
      <c r="N80" s="360"/>
      <c r="O80" s="360"/>
      <c r="P80" s="360"/>
      <c r="Q80" s="360"/>
      <c r="R80" s="360"/>
    </row>
    <row r="81" spans="1:18" s="375" customFormat="1" x14ac:dyDescent="0.25">
      <c r="A81" s="376"/>
      <c r="B81" s="360"/>
      <c r="C81" s="381"/>
      <c r="D81" s="775"/>
      <c r="E81" s="382"/>
      <c r="G81" s="360"/>
      <c r="H81" s="360"/>
      <c r="I81" s="360"/>
      <c r="J81" s="360"/>
      <c r="K81" s="360"/>
      <c r="L81" s="360"/>
      <c r="M81" s="360"/>
      <c r="N81" s="360"/>
      <c r="O81" s="360"/>
      <c r="P81" s="360"/>
      <c r="Q81" s="360"/>
      <c r="R81" s="360"/>
    </row>
    <row r="82" spans="1:18" s="375" customFormat="1" x14ac:dyDescent="0.25">
      <c r="A82" s="376"/>
      <c r="B82" s="360"/>
      <c r="C82" s="381"/>
      <c r="D82" s="775"/>
      <c r="E82" s="382"/>
      <c r="G82" s="360"/>
      <c r="H82" s="360"/>
      <c r="I82" s="360"/>
      <c r="J82" s="360"/>
      <c r="K82" s="360"/>
      <c r="L82" s="360"/>
      <c r="M82" s="360"/>
      <c r="N82" s="360"/>
      <c r="O82" s="360"/>
      <c r="P82" s="360"/>
      <c r="Q82" s="360"/>
      <c r="R82" s="360"/>
    </row>
    <row r="83" spans="1:18" s="375" customFormat="1" x14ac:dyDescent="0.25">
      <c r="A83" s="376"/>
      <c r="B83" s="373"/>
      <c r="C83" s="374"/>
      <c r="D83" s="774"/>
      <c r="E83" s="382"/>
      <c r="G83" s="360"/>
      <c r="H83" s="360"/>
      <c r="I83" s="360"/>
      <c r="J83" s="360"/>
      <c r="K83" s="360"/>
      <c r="L83" s="360"/>
      <c r="M83" s="360"/>
      <c r="N83" s="360"/>
      <c r="O83" s="360"/>
      <c r="P83" s="360"/>
      <c r="Q83" s="360"/>
      <c r="R83" s="360"/>
    </row>
    <row r="84" spans="1:18" s="375" customFormat="1" x14ac:dyDescent="0.25">
      <c r="A84" s="376"/>
      <c r="B84" s="373"/>
      <c r="C84" s="374"/>
      <c r="D84" s="774"/>
      <c r="E84" s="382"/>
      <c r="G84" s="360"/>
      <c r="H84" s="360"/>
      <c r="I84" s="360"/>
      <c r="J84" s="360"/>
      <c r="K84" s="360"/>
      <c r="L84" s="360"/>
      <c r="M84" s="360"/>
      <c r="N84" s="360"/>
      <c r="O84" s="360"/>
      <c r="P84" s="360"/>
      <c r="Q84" s="360"/>
      <c r="R84" s="360"/>
    </row>
    <row r="85" spans="1:18" s="375" customFormat="1" x14ac:dyDescent="0.25">
      <c r="A85" s="376"/>
      <c r="B85" s="373"/>
      <c r="C85" s="381"/>
      <c r="D85" s="775"/>
      <c r="E85" s="382"/>
      <c r="G85" s="360"/>
      <c r="H85" s="360"/>
      <c r="I85" s="360"/>
      <c r="J85" s="360"/>
      <c r="K85" s="360"/>
      <c r="L85" s="360"/>
      <c r="M85" s="360"/>
      <c r="N85" s="360"/>
      <c r="O85" s="360"/>
      <c r="P85" s="360"/>
      <c r="Q85" s="360"/>
      <c r="R85" s="360"/>
    </row>
    <row r="86" spans="1:18" s="375" customFormat="1" x14ac:dyDescent="0.25">
      <c r="A86" s="376"/>
      <c r="B86" s="360"/>
      <c r="C86" s="381"/>
      <c r="D86" s="775"/>
      <c r="E86" s="382"/>
      <c r="G86" s="360"/>
      <c r="H86" s="360"/>
      <c r="I86" s="360"/>
      <c r="J86" s="360"/>
      <c r="K86" s="360"/>
      <c r="L86" s="360"/>
      <c r="M86" s="360"/>
      <c r="N86" s="360"/>
      <c r="O86" s="360"/>
      <c r="P86" s="360"/>
      <c r="Q86" s="360"/>
      <c r="R86" s="360"/>
    </row>
    <row r="87" spans="1:18" s="375" customFormat="1" x14ac:dyDescent="0.25">
      <c r="A87" s="376"/>
      <c r="B87" s="373"/>
      <c r="C87" s="381"/>
      <c r="D87" s="775"/>
      <c r="E87" s="382"/>
      <c r="G87" s="360"/>
      <c r="H87" s="360"/>
      <c r="I87" s="360"/>
      <c r="J87" s="360"/>
      <c r="K87" s="360"/>
      <c r="L87" s="360"/>
      <c r="M87" s="360"/>
      <c r="N87" s="360"/>
      <c r="O87" s="360"/>
      <c r="P87" s="360"/>
      <c r="Q87" s="360"/>
      <c r="R87" s="360"/>
    </row>
    <row r="88" spans="1:18" s="375" customFormat="1" x14ac:dyDescent="0.25">
      <c r="A88" s="376"/>
      <c r="B88" s="360"/>
      <c r="C88" s="381"/>
      <c r="D88" s="775"/>
      <c r="E88" s="382"/>
      <c r="G88" s="360"/>
      <c r="H88" s="360"/>
      <c r="I88" s="360"/>
      <c r="J88" s="360"/>
      <c r="K88" s="360"/>
      <c r="L88" s="360"/>
      <c r="M88" s="360"/>
      <c r="N88" s="360"/>
      <c r="O88" s="360"/>
      <c r="P88" s="360"/>
      <c r="Q88" s="360"/>
      <c r="R88" s="360"/>
    </row>
    <row r="89" spans="1:18" s="375" customFormat="1" x14ac:dyDescent="0.25">
      <c r="A89" s="376"/>
      <c r="B89" s="373"/>
      <c r="C89" s="381"/>
      <c r="D89" s="775"/>
      <c r="E89" s="382"/>
      <c r="G89" s="360"/>
      <c r="H89" s="360"/>
      <c r="I89" s="360"/>
      <c r="J89" s="360"/>
      <c r="K89" s="360"/>
      <c r="L89" s="360"/>
      <c r="M89" s="360"/>
      <c r="N89" s="360"/>
      <c r="O89" s="360"/>
      <c r="P89" s="360"/>
      <c r="Q89" s="360"/>
      <c r="R89" s="360"/>
    </row>
    <row r="90" spans="1:18" s="375" customFormat="1" x14ac:dyDescent="0.25">
      <c r="A90" s="376"/>
      <c r="B90" s="373"/>
      <c r="C90" s="381"/>
      <c r="D90" s="775"/>
      <c r="E90" s="382"/>
      <c r="G90" s="360"/>
      <c r="H90" s="360"/>
      <c r="I90" s="360"/>
      <c r="J90" s="360"/>
      <c r="K90" s="360"/>
      <c r="L90" s="360"/>
      <c r="M90" s="360"/>
      <c r="N90" s="360"/>
      <c r="O90" s="360"/>
      <c r="P90" s="360"/>
      <c r="Q90" s="360"/>
      <c r="R90" s="360"/>
    </row>
    <row r="91" spans="1:18" s="375" customFormat="1" x14ac:dyDescent="0.25">
      <c r="A91" s="360"/>
      <c r="B91" s="373"/>
      <c r="C91" s="381"/>
      <c r="D91" s="775"/>
      <c r="E91" s="382"/>
      <c r="G91" s="360"/>
      <c r="H91" s="360"/>
      <c r="I91" s="360"/>
      <c r="J91" s="360"/>
      <c r="K91" s="360"/>
      <c r="L91" s="360"/>
      <c r="M91" s="360"/>
      <c r="N91" s="360"/>
      <c r="O91" s="360"/>
      <c r="P91" s="360"/>
      <c r="Q91" s="360"/>
      <c r="R91" s="360"/>
    </row>
    <row r="92" spans="1:18" s="375" customFormat="1" x14ac:dyDescent="0.25">
      <c r="A92" s="360"/>
      <c r="B92" s="373"/>
      <c r="C92" s="381"/>
      <c r="D92" s="775"/>
      <c r="E92" s="382"/>
      <c r="G92" s="360"/>
      <c r="H92" s="360"/>
      <c r="I92" s="360"/>
      <c r="J92" s="360"/>
      <c r="K92" s="360"/>
      <c r="L92" s="360"/>
      <c r="M92" s="360"/>
      <c r="N92" s="360"/>
      <c r="O92" s="360"/>
      <c r="P92" s="360"/>
      <c r="Q92" s="360"/>
      <c r="R92" s="360"/>
    </row>
    <row r="93" spans="1:18" x14ac:dyDescent="0.25">
      <c r="C93" s="381"/>
      <c r="D93" s="775"/>
      <c r="E93" s="382"/>
    </row>
    <row r="94" spans="1:18" x14ac:dyDescent="0.25">
      <c r="C94" s="381"/>
      <c r="D94" s="775"/>
      <c r="E94" s="382"/>
    </row>
    <row r="95" spans="1:18" x14ac:dyDescent="0.25">
      <c r="C95" s="381"/>
      <c r="D95" s="775"/>
      <c r="E95" s="382"/>
    </row>
    <row r="96" spans="1:18" x14ac:dyDescent="0.25">
      <c r="C96" s="381"/>
      <c r="D96" s="775"/>
      <c r="E96" s="382"/>
    </row>
    <row r="97" spans="1:17" x14ac:dyDescent="0.25">
      <c r="C97" s="381"/>
      <c r="D97" s="775"/>
      <c r="E97" s="382"/>
    </row>
    <row r="98" spans="1:17" x14ac:dyDescent="0.25">
      <c r="C98" s="381"/>
      <c r="D98" s="775"/>
      <c r="E98" s="382"/>
    </row>
    <row r="99" spans="1:17" x14ac:dyDescent="0.25">
      <c r="C99" s="381"/>
      <c r="D99" s="775"/>
      <c r="E99" s="382"/>
    </row>
    <row r="100" spans="1:17" x14ac:dyDescent="0.25">
      <c r="C100" s="381"/>
      <c r="D100" s="775"/>
      <c r="E100" s="382"/>
    </row>
    <row r="101" spans="1:17" x14ac:dyDescent="0.25">
      <c r="B101" s="360"/>
      <c r="C101" s="381"/>
      <c r="D101" s="775"/>
      <c r="E101" s="382"/>
    </row>
    <row r="102" spans="1:17" x14ac:dyDescent="0.25">
      <c r="A102" s="383"/>
      <c r="B102" s="360"/>
      <c r="C102" s="384"/>
      <c r="D102" s="776"/>
      <c r="E102" s="380"/>
      <c r="G102" s="385"/>
      <c r="H102" s="385"/>
      <c r="I102" s="385"/>
      <c r="J102" s="385"/>
      <c r="K102" s="385"/>
      <c r="L102" s="385"/>
      <c r="M102" s="385"/>
      <c r="N102" s="385"/>
      <c r="O102" s="385"/>
      <c r="P102" s="385"/>
      <c r="Q102" s="385"/>
    </row>
    <row r="103" spans="1:17" x14ac:dyDescent="0.25">
      <c r="A103" s="383"/>
      <c r="B103" s="386"/>
      <c r="C103" s="384"/>
      <c r="D103" s="776"/>
      <c r="E103" s="380"/>
      <c r="F103" s="380"/>
      <c r="G103" s="387"/>
      <c r="H103" s="387"/>
      <c r="I103" s="387"/>
      <c r="J103" s="387"/>
      <c r="K103" s="387"/>
      <c r="L103" s="387"/>
      <c r="M103" s="387"/>
      <c r="N103" s="387"/>
      <c r="O103" s="387"/>
      <c r="P103" s="387"/>
      <c r="Q103" s="387"/>
    </row>
    <row r="104" spans="1:17" x14ac:dyDescent="0.25">
      <c r="A104" s="383"/>
      <c r="B104" s="386"/>
      <c r="C104" s="384"/>
      <c r="D104" s="776"/>
      <c r="G104" s="385"/>
      <c r="H104" s="385"/>
      <c r="I104" s="385"/>
      <c r="J104" s="385"/>
      <c r="K104" s="385"/>
      <c r="L104" s="385"/>
      <c r="M104" s="385"/>
      <c r="N104" s="385"/>
      <c r="O104" s="385"/>
      <c r="P104" s="385"/>
      <c r="Q104" s="385"/>
    </row>
    <row r="105" spans="1:17" x14ac:dyDescent="0.25">
      <c r="A105" s="383"/>
      <c r="B105" s="386"/>
      <c r="C105" s="384"/>
      <c r="D105" s="776"/>
      <c r="G105" s="385"/>
      <c r="H105" s="385"/>
      <c r="I105" s="385"/>
      <c r="J105" s="385"/>
      <c r="K105" s="385"/>
      <c r="L105" s="385"/>
      <c r="M105" s="385"/>
      <c r="N105" s="385"/>
      <c r="O105" s="385"/>
      <c r="P105" s="385"/>
      <c r="Q105" s="385"/>
    </row>
    <row r="106" spans="1:17" x14ac:dyDescent="0.25">
      <c r="A106" s="383"/>
      <c r="C106" s="384"/>
      <c r="D106" s="776"/>
      <c r="G106" s="385"/>
      <c r="H106" s="385"/>
      <c r="I106" s="385"/>
      <c r="J106" s="385"/>
      <c r="K106" s="385"/>
      <c r="L106" s="385"/>
      <c r="M106" s="385"/>
      <c r="N106" s="385"/>
      <c r="O106" s="385"/>
      <c r="P106" s="385"/>
      <c r="Q106" s="385"/>
    </row>
    <row r="107" spans="1:17" x14ac:dyDescent="0.25">
      <c r="A107" s="383"/>
      <c r="C107" s="384"/>
      <c r="D107" s="776"/>
      <c r="G107" s="385"/>
      <c r="H107" s="385"/>
      <c r="I107" s="385"/>
      <c r="J107" s="385"/>
      <c r="K107" s="385"/>
      <c r="L107" s="385"/>
      <c r="M107" s="385"/>
      <c r="N107" s="385"/>
      <c r="O107" s="385"/>
      <c r="P107" s="385"/>
      <c r="Q107" s="385"/>
    </row>
    <row r="108" spans="1:17" x14ac:dyDescent="0.25">
      <c r="A108" s="383"/>
      <c r="B108" s="388"/>
      <c r="C108" s="384"/>
      <c r="D108" s="776"/>
      <c r="G108" s="385"/>
      <c r="H108" s="385"/>
      <c r="I108" s="385"/>
      <c r="J108" s="385"/>
      <c r="K108" s="385"/>
      <c r="L108" s="385"/>
      <c r="M108" s="385"/>
      <c r="N108" s="385"/>
      <c r="O108" s="385"/>
      <c r="P108" s="385"/>
      <c r="Q108" s="385"/>
    </row>
    <row r="109" spans="1:17" x14ac:dyDescent="0.25">
      <c r="A109" s="383"/>
      <c r="C109" s="384"/>
      <c r="D109" s="776"/>
      <c r="G109" s="385"/>
      <c r="H109" s="385"/>
      <c r="I109" s="385"/>
      <c r="J109" s="385"/>
      <c r="K109" s="385"/>
      <c r="L109" s="385"/>
      <c r="M109" s="385"/>
      <c r="N109" s="385"/>
      <c r="O109" s="385"/>
      <c r="P109" s="385"/>
      <c r="Q109" s="385"/>
    </row>
    <row r="110" spans="1:17" x14ac:dyDescent="0.25">
      <c r="A110" s="383"/>
      <c r="B110" s="386"/>
      <c r="C110" s="384"/>
      <c r="D110" s="776"/>
      <c r="G110" s="385"/>
      <c r="H110" s="385"/>
      <c r="I110" s="385"/>
      <c r="J110" s="385"/>
      <c r="K110" s="385"/>
      <c r="L110" s="385"/>
      <c r="M110" s="385"/>
      <c r="N110" s="385"/>
      <c r="O110" s="385"/>
      <c r="P110" s="385"/>
      <c r="Q110" s="385"/>
    </row>
    <row r="111" spans="1:17" x14ac:dyDescent="0.25">
      <c r="A111" s="383"/>
      <c r="B111" s="386"/>
      <c r="C111" s="384"/>
      <c r="D111" s="776"/>
      <c r="G111" s="385"/>
      <c r="H111" s="385"/>
      <c r="I111" s="385"/>
      <c r="J111" s="385"/>
      <c r="K111" s="385"/>
      <c r="L111" s="385"/>
      <c r="M111" s="385"/>
      <c r="N111" s="385"/>
      <c r="O111" s="385"/>
      <c r="P111" s="385"/>
      <c r="Q111" s="385"/>
    </row>
    <row r="112" spans="1:17" x14ac:dyDescent="0.25">
      <c r="A112" s="383"/>
      <c r="B112" s="386"/>
      <c r="C112" s="384"/>
      <c r="D112" s="776"/>
      <c r="G112" s="385"/>
      <c r="H112" s="385"/>
      <c r="I112" s="385"/>
      <c r="J112" s="385"/>
      <c r="K112" s="385"/>
      <c r="L112" s="385"/>
      <c r="M112" s="385"/>
      <c r="N112" s="385"/>
      <c r="O112" s="385"/>
      <c r="P112" s="385"/>
      <c r="Q112" s="385"/>
    </row>
    <row r="113" spans="1:17" x14ac:dyDescent="0.25">
      <c r="A113" s="383"/>
      <c r="B113" s="386"/>
      <c r="C113" s="384"/>
      <c r="D113" s="776"/>
      <c r="G113" s="385"/>
      <c r="H113" s="385"/>
      <c r="I113" s="385"/>
      <c r="J113" s="385"/>
      <c r="K113" s="385"/>
      <c r="L113" s="385"/>
      <c r="M113" s="385"/>
      <c r="N113" s="385"/>
      <c r="O113" s="385"/>
      <c r="P113" s="385"/>
      <c r="Q113" s="385"/>
    </row>
    <row r="114" spans="1:17" x14ac:dyDescent="0.25">
      <c r="A114" s="383"/>
      <c r="B114" s="386"/>
      <c r="C114" s="384"/>
      <c r="D114" s="776"/>
      <c r="G114" s="385"/>
      <c r="H114" s="385"/>
      <c r="I114" s="385"/>
      <c r="J114" s="385"/>
      <c r="K114" s="385"/>
      <c r="L114" s="385"/>
      <c r="M114" s="385"/>
      <c r="N114" s="385"/>
      <c r="O114" s="385"/>
      <c r="P114" s="385"/>
      <c r="Q114" s="385"/>
    </row>
    <row r="115" spans="1:17" x14ac:dyDescent="0.25">
      <c r="A115" s="383"/>
      <c r="B115" s="386"/>
      <c r="C115" s="384"/>
      <c r="D115" s="776"/>
      <c r="G115" s="385"/>
      <c r="H115" s="385"/>
      <c r="I115" s="385"/>
      <c r="J115" s="385"/>
      <c r="K115" s="385"/>
      <c r="L115" s="385"/>
      <c r="M115" s="385"/>
      <c r="N115" s="385"/>
      <c r="O115" s="385"/>
      <c r="P115" s="385"/>
      <c r="Q115" s="385"/>
    </row>
    <row r="116" spans="1:17" x14ac:dyDescent="0.25">
      <c r="C116" s="384"/>
      <c r="D116" s="776"/>
      <c r="G116" s="385"/>
      <c r="H116" s="385"/>
      <c r="I116" s="385"/>
      <c r="J116" s="385"/>
      <c r="K116" s="385"/>
      <c r="L116" s="385"/>
      <c r="M116" s="385"/>
      <c r="N116" s="385"/>
      <c r="O116" s="385"/>
      <c r="P116" s="385"/>
      <c r="Q116" s="385"/>
    </row>
    <row r="117" spans="1:17" x14ac:dyDescent="0.25">
      <c r="B117" s="386"/>
      <c r="C117" s="384"/>
      <c r="D117" s="776"/>
      <c r="G117" s="385"/>
      <c r="H117" s="385"/>
      <c r="I117" s="385"/>
      <c r="J117" s="385"/>
      <c r="K117" s="385"/>
      <c r="L117" s="385"/>
      <c r="M117" s="385"/>
      <c r="N117" s="385"/>
      <c r="O117" s="385"/>
      <c r="P117" s="385"/>
      <c r="Q117" s="385"/>
    </row>
    <row r="118" spans="1:17" x14ac:dyDescent="0.25">
      <c r="B118" s="386"/>
      <c r="C118" s="384"/>
      <c r="D118" s="776"/>
      <c r="G118" s="385"/>
      <c r="H118" s="385"/>
      <c r="I118" s="385"/>
      <c r="J118" s="385"/>
      <c r="K118" s="385"/>
      <c r="L118" s="385"/>
      <c r="M118" s="385"/>
      <c r="N118" s="385"/>
      <c r="O118" s="385"/>
      <c r="P118" s="385"/>
      <c r="Q118" s="385"/>
    </row>
    <row r="119" spans="1:17" x14ac:dyDescent="0.25">
      <c r="B119" s="386"/>
      <c r="C119" s="384"/>
      <c r="D119" s="776"/>
      <c r="G119" s="385"/>
      <c r="H119" s="385"/>
      <c r="I119" s="385"/>
      <c r="J119" s="385"/>
      <c r="K119" s="385"/>
      <c r="L119" s="385"/>
      <c r="M119" s="385"/>
      <c r="N119" s="385"/>
      <c r="O119" s="385"/>
      <c r="P119" s="385"/>
      <c r="Q119" s="385"/>
    </row>
    <row r="120" spans="1:17" x14ac:dyDescent="0.25">
      <c r="B120" s="388"/>
      <c r="C120" s="384"/>
      <c r="D120" s="776"/>
      <c r="G120" s="385"/>
      <c r="H120" s="385"/>
      <c r="I120" s="385"/>
      <c r="J120" s="385"/>
      <c r="K120" s="385"/>
      <c r="L120" s="385"/>
      <c r="M120" s="385"/>
      <c r="N120" s="385"/>
      <c r="O120" s="385"/>
      <c r="P120" s="385"/>
      <c r="Q120" s="385"/>
    </row>
    <row r="121" spans="1:17" x14ac:dyDescent="0.25">
      <c r="B121" s="386"/>
      <c r="C121" s="384"/>
      <c r="D121" s="776"/>
      <c r="G121" s="385"/>
      <c r="H121" s="385"/>
      <c r="I121" s="385"/>
      <c r="J121" s="385"/>
      <c r="K121" s="385"/>
      <c r="L121" s="385"/>
      <c r="M121" s="385"/>
      <c r="N121" s="385"/>
      <c r="O121" s="385"/>
      <c r="P121" s="385"/>
      <c r="Q121" s="385"/>
    </row>
    <row r="122" spans="1:17" x14ac:dyDescent="0.25">
      <c r="B122" s="386"/>
      <c r="C122" s="384"/>
      <c r="D122" s="776"/>
      <c r="G122" s="385"/>
      <c r="H122" s="385"/>
      <c r="I122" s="385"/>
      <c r="J122" s="385"/>
      <c r="K122" s="385"/>
      <c r="L122" s="385"/>
      <c r="M122" s="385"/>
      <c r="N122" s="385"/>
      <c r="O122" s="385"/>
      <c r="P122" s="385"/>
      <c r="Q122" s="385"/>
    </row>
    <row r="123" spans="1:17" x14ac:dyDescent="0.25">
      <c r="B123" s="386"/>
      <c r="C123" s="384"/>
      <c r="D123" s="776"/>
      <c r="G123" s="385"/>
      <c r="H123" s="385"/>
      <c r="I123" s="385"/>
      <c r="J123" s="385"/>
      <c r="K123" s="385"/>
      <c r="L123" s="385"/>
      <c r="M123" s="385"/>
      <c r="N123" s="385"/>
      <c r="O123" s="385"/>
      <c r="P123" s="385"/>
      <c r="Q123" s="385"/>
    </row>
    <row r="124" spans="1:17" x14ac:dyDescent="0.25">
      <c r="B124" s="386"/>
      <c r="C124" s="384"/>
      <c r="D124" s="776"/>
      <c r="G124" s="385"/>
      <c r="H124" s="385"/>
      <c r="I124" s="385"/>
      <c r="J124" s="385"/>
      <c r="K124" s="385"/>
      <c r="L124" s="385"/>
      <c r="M124" s="385"/>
      <c r="N124" s="385"/>
      <c r="O124" s="385"/>
      <c r="P124" s="385"/>
      <c r="Q124" s="385"/>
    </row>
    <row r="125" spans="1:17" x14ac:dyDescent="0.25">
      <c r="B125" s="386"/>
      <c r="C125" s="384"/>
      <c r="D125" s="776"/>
      <c r="G125" s="385"/>
      <c r="H125" s="385"/>
      <c r="I125" s="385"/>
      <c r="J125" s="385"/>
      <c r="K125" s="385"/>
      <c r="L125" s="385"/>
      <c r="M125" s="385"/>
      <c r="N125" s="385"/>
      <c r="O125" s="385"/>
      <c r="P125" s="385"/>
      <c r="Q125" s="385"/>
    </row>
    <row r="126" spans="1:17" x14ac:dyDescent="0.25">
      <c r="B126" s="386"/>
      <c r="C126" s="384"/>
      <c r="D126" s="776"/>
      <c r="G126" s="385"/>
      <c r="H126" s="385"/>
      <c r="I126" s="385"/>
      <c r="J126" s="385"/>
      <c r="K126" s="385"/>
      <c r="L126" s="385"/>
      <c r="M126" s="385"/>
      <c r="N126" s="385"/>
      <c r="O126" s="385"/>
      <c r="P126" s="385"/>
      <c r="Q126" s="385"/>
    </row>
    <row r="127" spans="1:17" x14ac:dyDescent="0.25">
      <c r="B127" s="386"/>
      <c r="C127" s="384"/>
      <c r="D127" s="776"/>
      <c r="G127" s="385"/>
      <c r="H127" s="385"/>
      <c r="I127" s="385"/>
      <c r="J127" s="385"/>
      <c r="K127" s="385"/>
      <c r="L127" s="385"/>
      <c r="M127" s="385"/>
      <c r="N127" s="385"/>
      <c r="O127" s="385"/>
      <c r="P127" s="385"/>
      <c r="Q127" s="385"/>
    </row>
    <row r="128" spans="1:17" x14ac:dyDescent="0.25">
      <c r="B128" s="386"/>
      <c r="C128" s="384"/>
      <c r="D128" s="776"/>
      <c r="G128" s="385"/>
      <c r="H128" s="385"/>
      <c r="I128" s="385"/>
      <c r="J128" s="385"/>
      <c r="K128" s="385"/>
      <c r="L128" s="385"/>
      <c r="M128" s="385"/>
      <c r="N128" s="385"/>
      <c r="O128" s="385"/>
      <c r="P128" s="385"/>
      <c r="Q128" s="385"/>
    </row>
    <row r="129" spans="2:17" x14ac:dyDescent="0.25">
      <c r="B129" s="389"/>
      <c r="C129" s="384"/>
      <c r="D129" s="776"/>
      <c r="G129" s="385"/>
      <c r="H129" s="385"/>
      <c r="I129" s="385"/>
      <c r="J129" s="385"/>
      <c r="K129" s="385"/>
      <c r="L129" s="385"/>
      <c r="M129" s="385"/>
      <c r="N129" s="385"/>
      <c r="O129" s="385"/>
      <c r="P129" s="385"/>
      <c r="Q129" s="385"/>
    </row>
    <row r="130" spans="2:17" x14ac:dyDescent="0.25">
      <c r="C130" s="384"/>
      <c r="D130" s="776"/>
      <c r="G130" s="385"/>
      <c r="H130" s="385"/>
      <c r="I130" s="385"/>
      <c r="J130" s="385"/>
      <c r="K130" s="385"/>
      <c r="L130" s="385"/>
      <c r="M130" s="385"/>
      <c r="N130" s="385"/>
      <c r="O130" s="385"/>
      <c r="P130" s="385"/>
      <c r="Q130" s="385"/>
    </row>
    <row r="131" spans="2:17" x14ac:dyDescent="0.25">
      <c r="B131" s="389"/>
      <c r="C131" s="384"/>
      <c r="D131" s="776"/>
      <c r="G131" s="385"/>
      <c r="H131" s="385"/>
      <c r="I131" s="385"/>
      <c r="J131" s="385"/>
      <c r="K131" s="385"/>
      <c r="L131" s="385"/>
      <c r="M131" s="385"/>
      <c r="N131" s="385"/>
      <c r="O131" s="385"/>
      <c r="P131" s="385"/>
      <c r="Q131" s="385"/>
    </row>
    <row r="132" spans="2:17" x14ac:dyDescent="0.25">
      <c r="C132" s="384"/>
      <c r="D132" s="776"/>
      <c r="G132" s="385"/>
      <c r="H132" s="385"/>
      <c r="I132" s="385"/>
      <c r="J132" s="385"/>
      <c r="K132" s="385"/>
      <c r="L132" s="385"/>
      <c r="M132" s="385"/>
      <c r="N132" s="385"/>
      <c r="O132" s="385"/>
      <c r="P132" s="385"/>
      <c r="Q132" s="385"/>
    </row>
    <row r="133" spans="2:17" x14ac:dyDescent="0.25">
      <c r="B133" s="386"/>
      <c r="C133" s="384"/>
      <c r="D133" s="776"/>
      <c r="G133" s="385"/>
      <c r="H133" s="385"/>
      <c r="I133" s="385"/>
      <c r="J133" s="385"/>
      <c r="K133" s="385"/>
      <c r="L133" s="385"/>
      <c r="M133" s="385"/>
      <c r="N133" s="385"/>
      <c r="O133" s="385"/>
      <c r="P133" s="385"/>
      <c r="Q133" s="385"/>
    </row>
    <row r="134" spans="2:17" x14ac:dyDescent="0.25">
      <c r="B134" s="386"/>
      <c r="C134" s="384"/>
      <c r="D134" s="776"/>
      <c r="G134" s="385"/>
      <c r="H134" s="385"/>
      <c r="I134" s="385"/>
      <c r="J134" s="385"/>
      <c r="K134" s="385"/>
      <c r="L134" s="385"/>
      <c r="M134" s="385"/>
      <c r="N134" s="385"/>
      <c r="O134" s="385"/>
      <c r="P134" s="385"/>
      <c r="Q134" s="385"/>
    </row>
    <row r="135" spans="2:17" x14ac:dyDescent="0.25">
      <c r="B135" s="386"/>
      <c r="C135" s="384"/>
      <c r="D135" s="776"/>
      <c r="G135" s="385"/>
      <c r="H135" s="385"/>
      <c r="I135" s="385"/>
      <c r="J135" s="385"/>
      <c r="K135" s="385"/>
      <c r="L135" s="385"/>
      <c r="M135" s="385"/>
      <c r="N135" s="385"/>
      <c r="O135" s="385"/>
      <c r="P135" s="385"/>
      <c r="Q135" s="385"/>
    </row>
    <row r="136" spans="2:17" x14ac:dyDescent="0.25">
      <c r="B136" s="389"/>
      <c r="C136" s="384"/>
      <c r="D136" s="776"/>
      <c r="G136" s="385"/>
      <c r="H136" s="385"/>
      <c r="I136" s="385"/>
      <c r="J136" s="385"/>
      <c r="K136" s="385"/>
      <c r="L136" s="385"/>
      <c r="M136" s="385"/>
      <c r="N136" s="385"/>
      <c r="O136" s="385"/>
      <c r="P136" s="385"/>
      <c r="Q136" s="385"/>
    </row>
    <row r="137" spans="2:17" x14ac:dyDescent="0.25">
      <c r="C137" s="384"/>
      <c r="D137" s="776"/>
      <c r="G137" s="385"/>
      <c r="H137" s="385"/>
      <c r="I137" s="385"/>
      <c r="J137" s="385"/>
      <c r="K137" s="385"/>
      <c r="L137" s="385"/>
      <c r="M137" s="385"/>
      <c r="N137" s="385"/>
      <c r="O137" s="385"/>
      <c r="P137" s="385"/>
      <c r="Q137" s="385"/>
    </row>
    <row r="138" spans="2:17" x14ac:dyDescent="0.25">
      <c r="B138" s="386"/>
      <c r="C138" s="384"/>
      <c r="D138" s="776"/>
      <c r="G138" s="385"/>
      <c r="H138" s="385"/>
      <c r="I138" s="385"/>
      <c r="J138" s="385"/>
      <c r="K138" s="385"/>
      <c r="L138" s="385"/>
      <c r="M138" s="385"/>
      <c r="N138" s="385"/>
      <c r="O138" s="385"/>
      <c r="P138" s="385"/>
      <c r="Q138" s="385"/>
    </row>
    <row r="139" spans="2:17" x14ac:dyDescent="0.25">
      <c r="B139" s="386"/>
      <c r="C139" s="384"/>
      <c r="D139" s="776"/>
      <c r="G139" s="385"/>
      <c r="H139" s="385"/>
      <c r="I139" s="385"/>
      <c r="J139" s="385"/>
      <c r="K139" s="385"/>
      <c r="L139" s="385"/>
      <c r="M139" s="385"/>
      <c r="N139" s="385"/>
      <c r="O139" s="385"/>
      <c r="P139" s="385"/>
      <c r="Q139" s="385"/>
    </row>
    <row r="140" spans="2:17" x14ac:dyDescent="0.25">
      <c r="B140" s="389"/>
      <c r="C140" s="384"/>
      <c r="D140" s="776"/>
      <c r="G140" s="385"/>
      <c r="H140" s="385"/>
      <c r="I140" s="385"/>
      <c r="J140" s="385"/>
      <c r="K140" s="385"/>
      <c r="L140" s="385"/>
      <c r="M140" s="385"/>
      <c r="N140" s="385"/>
      <c r="O140" s="385"/>
      <c r="P140" s="385"/>
      <c r="Q140" s="385"/>
    </row>
    <row r="141" spans="2:17" x14ac:dyDescent="0.25">
      <c r="C141" s="384"/>
      <c r="D141" s="776"/>
      <c r="G141" s="385"/>
      <c r="H141" s="385"/>
      <c r="I141" s="385"/>
      <c r="J141" s="385"/>
      <c r="K141" s="385"/>
      <c r="L141" s="385"/>
      <c r="M141" s="385"/>
      <c r="N141" s="385"/>
      <c r="O141" s="385"/>
      <c r="P141" s="385"/>
      <c r="Q141" s="385"/>
    </row>
    <row r="142" spans="2:17" x14ac:dyDescent="0.25">
      <c r="B142" s="388"/>
      <c r="C142" s="390"/>
      <c r="D142" s="777"/>
      <c r="G142" s="385"/>
      <c r="H142" s="385"/>
      <c r="I142" s="385"/>
      <c r="J142" s="385"/>
      <c r="K142" s="385"/>
      <c r="L142" s="385"/>
      <c r="M142" s="385"/>
      <c r="N142" s="385"/>
      <c r="O142" s="385"/>
      <c r="P142" s="385"/>
      <c r="Q142" s="385"/>
    </row>
    <row r="143" spans="2:17" x14ac:dyDescent="0.25">
      <c r="B143" s="389"/>
      <c r="C143" s="384"/>
      <c r="D143" s="776"/>
      <c r="G143" s="385"/>
      <c r="H143" s="385"/>
      <c r="I143" s="385"/>
      <c r="J143" s="385"/>
      <c r="K143" s="385"/>
      <c r="L143" s="385"/>
      <c r="M143" s="385"/>
      <c r="N143" s="385"/>
      <c r="O143" s="385"/>
      <c r="P143" s="385"/>
      <c r="Q143" s="385"/>
    </row>
    <row r="144" spans="2:17" x14ac:dyDescent="0.25">
      <c r="B144" s="389"/>
      <c r="C144" s="384"/>
      <c r="D144" s="776"/>
      <c r="G144" s="385"/>
      <c r="H144" s="385"/>
      <c r="I144" s="385"/>
      <c r="J144" s="385"/>
      <c r="K144" s="385"/>
      <c r="L144" s="385"/>
      <c r="M144" s="385"/>
      <c r="N144" s="385"/>
      <c r="O144" s="385"/>
      <c r="P144" s="385"/>
      <c r="Q144" s="385"/>
    </row>
    <row r="145" spans="1:17" x14ac:dyDescent="0.25">
      <c r="C145" s="384"/>
      <c r="D145" s="776"/>
      <c r="G145" s="385"/>
      <c r="H145" s="385"/>
      <c r="I145" s="385"/>
      <c r="J145" s="385"/>
      <c r="K145" s="385"/>
      <c r="L145" s="385"/>
      <c r="M145" s="385"/>
      <c r="N145" s="385"/>
      <c r="O145" s="385"/>
      <c r="P145" s="385"/>
      <c r="Q145" s="385"/>
    </row>
    <row r="146" spans="1:17" x14ac:dyDescent="0.25">
      <c r="G146" s="385"/>
      <c r="H146" s="385"/>
      <c r="I146" s="385"/>
      <c r="J146" s="385"/>
      <c r="K146" s="385"/>
      <c r="L146" s="385"/>
      <c r="M146" s="385"/>
      <c r="N146" s="385"/>
      <c r="O146" s="385"/>
      <c r="P146" s="385"/>
      <c r="Q146" s="385"/>
    </row>
    <row r="147" spans="1:17" x14ac:dyDescent="0.25">
      <c r="C147" s="390"/>
      <c r="D147" s="777"/>
      <c r="G147" s="391"/>
      <c r="H147" s="391"/>
      <c r="I147" s="391"/>
      <c r="J147" s="391"/>
      <c r="K147" s="391"/>
      <c r="L147" s="391"/>
      <c r="M147" s="391"/>
      <c r="N147" s="391"/>
      <c r="O147" s="391"/>
      <c r="P147" s="391"/>
      <c r="Q147" s="391"/>
    </row>
    <row r="148" spans="1:17" x14ac:dyDescent="0.25">
      <c r="C148" s="390"/>
      <c r="D148" s="777"/>
      <c r="G148" s="391"/>
      <c r="H148" s="391"/>
      <c r="I148" s="391"/>
      <c r="J148" s="391"/>
      <c r="K148" s="391"/>
      <c r="L148" s="391"/>
      <c r="M148" s="391"/>
      <c r="N148" s="391"/>
      <c r="O148" s="391"/>
      <c r="P148" s="391"/>
      <c r="Q148" s="391"/>
    </row>
    <row r="150" spans="1:17" x14ac:dyDescent="0.25">
      <c r="A150" s="381"/>
      <c r="C150" s="381"/>
      <c r="D150" s="775"/>
      <c r="E150" s="382"/>
    </row>
    <row r="151" spans="1:17" x14ac:dyDescent="0.25">
      <c r="B151" s="386"/>
      <c r="C151" s="384"/>
      <c r="D151" s="776"/>
      <c r="E151" s="380"/>
      <c r="G151" s="385"/>
      <c r="H151" s="385"/>
      <c r="I151" s="385"/>
      <c r="J151" s="385"/>
      <c r="K151" s="385"/>
      <c r="L151" s="385"/>
      <c r="M151" s="385"/>
      <c r="N151" s="385"/>
      <c r="O151" s="385"/>
      <c r="P151" s="385"/>
      <c r="Q151" s="385"/>
    </row>
    <row r="152" spans="1:17" x14ac:dyDescent="0.25">
      <c r="B152" s="386"/>
      <c r="C152" s="384"/>
      <c r="D152" s="776"/>
      <c r="E152" s="380"/>
      <c r="F152" s="380"/>
      <c r="G152" s="387"/>
      <c r="H152" s="387"/>
      <c r="I152" s="387"/>
      <c r="J152" s="387"/>
      <c r="K152" s="387"/>
      <c r="L152" s="387"/>
      <c r="M152" s="387"/>
      <c r="N152" s="387"/>
      <c r="O152" s="387"/>
      <c r="P152" s="387"/>
      <c r="Q152" s="387"/>
    </row>
    <row r="153" spans="1:17" x14ac:dyDescent="0.25">
      <c r="B153" s="386"/>
      <c r="C153" s="384"/>
      <c r="D153" s="776"/>
      <c r="G153" s="385"/>
      <c r="H153" s="385"/>
      <c r="I153" s="385"/>
      <c r="J153" s="385"/>
      <c r="K153" s="385"/>
      <c r="L153" s="385"/>
      <c r="M153" s="385"/>
      <c r="N153" s="385"/>
      <c r="O153" s="385"/>
      <c r="P153" s="385"/>
      <c r="Q153" s="385"/>
    </row>
    <row r="154" spans="1:17" x14ac:dyDescent="0.25">
      <c r="B154" s="386"/>
      <c r="C154" s="384"/>
      <c r="D154" s="776"/>
      <c r="G154" s="385"/>
      <c r="H154" s="385"/>
      <c r="I154" s="385"/>
      <c r="J154" s="385"/>
      <c r="K154" s="385"/>
      <c r="L154" s="385"/>
      <c r="M154" s="385"/>
      <c r="N154" s="385"/>
      <c r="O154" s="385"/>
      <c r="P154" s="385"/>
      <c r="Q154" s="385"/>
    </row>
    <row r="155" spans="1:17" x14ac:dyDescent="0.25">
      <c r="B155" s="386"/>
      <c r="C155" s="384"/>
      <c r="D155" s="776"/>
      <c r="G155" s="385"/>
      <c r="H155" s="385"/>
      <c r="I155" s="385"/>
      <c r="J155" s="385"/>
      <c r="K155" s="385"/>
      <c r="L155" s="385"/>
      <c r="M155" s="385"/>
      <c r="N155" s="385"/>
      <c r="O155" s="385"/>
      <c r="P155" s="385"/>
      <c r="Q155" s="385"/>
    </row>
    <row r="156" spans="1:17" x14ac:dyDescent="0.25">
      <c r="B156" s="386"/>
      <c r="C156" s="384"/>
      <c r="D156" s="776"/>
      <c r="G156" s="385"/>
      <c r="H156" s="385"/>
      <c r="I156" s="385"/>
      <c r="J156" s="385"/>
      <c r="K156" s="385"/>
      <c r="L156" s="385"/>
      <c r="M156" s="385"/>
      <c r="N156" s="385"/>
      <c r="O156" s="385"/>
      <c r="P156" s="385"/>
      <c r="Q156" s="385"/>
    </row>
    <row r="157" spans="1:17" x14ac:dyDescent="0.25">
      <c r="B157" s="388"/>
      <c r="C157" s="384"/>
      <c r="D157" s="776"/>
      <c r="G157" s="385"/>
      <c r="H157" s="385"/>
      <c r="I157" s="385"/>
      <c r="J157" s="385"/>
      <c r="K157" s="385"/>
      <c r="L157" s="385"/>
      <c r="M157" s="385"/>
      <c r="N157" s="385"/>
      <c r="O157" s="385"/>
      <c r="P157" s="385"/>
      <c r="Q157" s="385"/>
    </row>
    <row r="158" spans="1:17" x14ac:dyDescent="0.25">
      <c r="C158" s="384"/>
      <c r="D158" s="776"/>
      <c r="G158" s="385"/>
      <c r="H158" s="385"/>
      <c r="I158" s="385"/>
      <c r="J158" s="385"/>
      <c r="K158" s="385"/>
      <c r="L158" s="385"/>
      <c r="M158" s="385"/>
      <c r="N158" s="385"/>
      <c r="O158" s="385"/>
      <c r="P158" s="385"/>
      <c r="Q158" s="385"/>
    </row>
    <row r="159" spans="1:17" x14ac:dyDescent="0.25">
      <c r="B159" s="386"/>
      <c r="C159" s="384"/>
      <c r="D159" s="776"/>
      <c r="G159" s="385"/>
      <c r="H159" s="385"/>
      <c r="I159" s="385"/>
      <c r="J159" s="385"/>
      <c r="K159" s="385"/>
      <c r="L159" s="385"/>
      <c r="M159" s="385"/>
      <c r="N159" s="385"/>
      <c r="O159" s="385"/>
      <c r="P159" s="385"/>
      <c r="Q159" s="385"/>
    </row>
    <row r="160" spans="1:17" x14ac:dyDescent="0.25">
      <c r="B160" s="386"/>
      <c r="C160" s="384"/>
      <c r="D160" s="776"/>
      <c r="G160" s="385"/>
      <c r="H160" s="385"/>
      <c r="I160" s="385"/>
      <c r="J160" s="385"/>
      <c r="K160" s="385"/>
      <c r="L160" s="385"/>
      <c r="M160" s="385"/>
      <c r="N160" s="385"/>
      <c r="O160" s="385"/>
      <c r="P160" s="385"/>
      <c r="Q160" s="385"/>
    </row>
    <row r="161" spans="2:17" x14ac:dyDescent="0.25">
      <c r="B161" s="386"/>
      <c r="C161" s="384"/>
      <c r="D161" s="776"/>
      <c r="G161" s="385"/>
      <c r="H161" s="385"/>
      <c r="I161" s="385"/>
      <c r="J161" s="385"/>
      <c r="K161" s="385"/>
      <c r="L161" s="385"/>
      <c r="M161" s="385"/>
      <c r="N161" s="385"/>
      <c r="O161" s="385"/>
      <c r="P161" s="385"/>
      <c r="Q161" s="385"/>
    </row>
    <row r="162" spans="2:17" x14ac:dyDescent="0.25">
      <c r="B162" s="386"/>
      <c r="C162" s="384"/>
      <c r="D162" s="776"/>
      <c r="G162" s="385"/>
      <c r="H162" s="385"/>
      <c r="I162" s="385"/>
      <c r="J162" s="385"/>
      <c r="K162" s="385"/>
      <c r="L162" s="385"/>
      <c r="M162" s="385"/>
      <c r="N162" s="385"/>
      <c r="O162" s="385"/>
      <c r="P162" s="385"/>
      <c r="Q162" s="385"/>
    </row>
    <row r="163" spans="2:17" x14ac:dyDescent="0.25">
      <c r="C163" s="384"/>
      <c r="D163" s="776"/>
      <c r="G163" s="385"/>
      <c r="H163" s="385"/>
      <c r="I163" s="385"/>
      <c r="J163" s="385"/>
      <c r="K163" s="385"/>
      <c r="L163" s="385"/>
      <c r="M163" s="385"/>
      <c r="N163" s="385"/>
      <c r="O163" s="385"/>
      <c r="P163" s="385"/>
      <c r="Q163" s="385"/>
    </row>
    <row r="164" spans="2:17" x14ac:dyDescent="0.25">
      <c r="B164" s="386"/>
      <c r="C164" s="384"/>
      <c r="D164" s="776"/>
      <c r="G164" s="385"/>
      <c r="H164" s="385"/>
      <c r="I164" s="385"/>
      <c r="J164" s="385"/>
      <c r="K164" s="385"/>
      <c r="L164" s="385"/>
      <c r="M164" s="385"/>
      <c r="N164" s="385"/>
      <c r="O164" s="385"/>
      <c r="P164" s="385"/>
      <c r="Q164" s="385"/>
    </row>
    <row r="165" spans="2:17" x14ac:dyDescent="0.25">
      <c r="B165" s="386"/>
      <c r="C165" s="384"/>
      <c r="D165" s="776"/>
      <c r="G165" s="385"/>
      <c r="H165" s="385"/>
      <c r="I165" s="385"/>
      <c r="J165" s="385"/>
      <c r="K165" s="385"/>
      <c r="L165" s="385"/>
      <c r="M165" s="385"/>
      <c r="N165" s="385"/>
      <c r="O165" s="385"/>
      <c r="P165" s="385"/>
      <c r="Q165" s="385"/>
    </row>
    <row r="166" spans="2:17" x14ac:dyDescent="0.25">
      <c r="B166" s="386"/>
      <c r="C166" s="384"/>
      <c r="D166" s="776"/>
      <c r="G166" s="385"/>
      <c r="H166" s="385"/>
      <c r="I166" s="385"/>
      <c r="J166" s="385"/>
      <c r="K166" s="385"/>
      <c r="L166" s="385"/>
      <c r="M166" s="385"/>
      <c r="N166" s="385"/>
      <c r="O166" s="385"/>
      <c r="P166" s="385"/>
      <c r="Q166" s="385"/>
    </row>
    <row r="167" spans="2:17" x14ac:dyDescent="0.25">
      <c r="B167" s="388"/>
      <c r="C167" s="384"/>
      <c r="D167" s="776"/>
      <c r="G167" s="385"/>
      <c r="H167" s="385"/>
      <c r="I167" s="385"/>
      <c r="J167" s="385"/>
      <c r="K167" s="385"/>
      <c r="L167" s="385"/>
      <c r="M167" s="385"/>
      <c r="N167" s="385"/>
      <c r="O167" s="385"/>
      <c r="P167" s="385"/>
      <c r="Q167" s="385"/>
    </row>
    <row r="168" spans="2:17" x14ac:dyDescent="0.25">
      <c r="B168" s="386"/>
      <c r="C168" s="384"/>
      <c r="D168" s="776"/>
      <c r="G168" s="385"/>
      <c r="H168" s="385"/>
      <c r="I168" s="385"/>
      <c r="J168" s="385"/>
      <c r="K168" s="385"/>
      <c r="L168" s="385"/>
      <c r="M168" s="385"/>
      <c r="N168" s="385"/>
      <c r="O168" s="385"/>
      <c r="P168" s="385"/>
      <c r="Q168" s="385"/>
    </row>
    <row r="169" spans="2:17" x14ac:dyDescent="0.25">
      <c r="B169" s="386"/>
      <c r="C169" s="384"/>
      <c r="D169" s="776"/>
      <c r="G169" s="385"/>
      <c r="H169" s="385"/>
      <c r="I169" s="385"/>
      <c r="J169" s="385"/>
      <c r="K169" s="385"/>
      <c r="L169" s="385"/>
      <c r="M169" s="385"/>
      <c r="N169" s="385"/>
      <c r="O169" s="385"/>
      <c r="P169" s="385"/>
      <c r="Q169" s="385"/>
    </row>
    <row r="170" spans="2:17" x14ac:dyDescent="0.25">
      <c r="B170" s="386"/>
      <c r="C170" s="384"/>
      <c r="D170" s="776"/>
      <c r="G170" s="385"/>
      <c r="H170" s="385"/>
      <c r="I170" s="385"/>
      <c r="J170" s="385"/>
      <c r="K170" s="385"/>
      <c r="L170" s="385"/>
      <c r="M170" s="385"/>
      <c r="N170" s="385"/>
      <c r="O170" s="385"/>
      <c r="P170" s="385"/>
      <c r="Q170" s="385"/>
    </row>
    <row r="171" spans="2:17" x14ac:dyDescent="0.25">
      <c r="B171" s="386"/>
      <c r="C171" s="384"/>
      <c r="D171" s="776"/>
      <c r="G171" s="385"/>
      <c r="H171" s="385"/>
      <c r="I171" s="385"/>
      <c r="J171" s="385"/>
      <c r="K171" s="385"/>
      <c r="L171" s="385"/>
      <c r="M171" s="385"/>
      <c r="N171" s="385"/>
      <c r="O171" s="385"/>
      <c r="P171" s="385"/>
      <c r="Q171" s="385"/>
    </row>
    <row r="172" spans="2:17" x14ac:dyDescent="0.25">
      <c r="B172" s="386"/>
      <c r="C172" s="384"/>
      <c r="D172" s="776"/>
      <c r="G172" s="385"/>
      <c r="H172" s="385"/>
      <c r="I172" s="385"/>
      <c r="J172" s="385"/>
      <c r="K172" s="385"/>
      <c r="L172" s="385"/>
      <c r="M172" s="385"/>
      <c r="N172" s="385"/>
      <c r="O172" s="385"/>
      <c r="P172" s="385"/>
      <c r="Q172" s="385"/>
    </row>
    <row r="173" spans="2:17" x14ac:dyDescent="0.25">
      <c r="B173" s="386"/>
      <c r="C173" s="384"/>
      <c r="D173" s="776"/>
      <c r="G173" s="385"/>
      <c r="H173" s="385"/>
      <c r="I173" s="385"/>
      <c r="J173" s="385"/>
      <c r="K173" s="385"/>
      <c r="L173" s="385"/>
      <c r="M173" s="385"/>
      <c r="N173" s="385"/>
      <c r="O173" s="385"/>
      <c r="P173" s="385"/>
      <c r="Q173" s="385"/>
    </row>
    <row r="174" spans="2:17" x14ac:dyDescent="0.25">
      <c r="B174" s="386"/>
      <c r="C174" s="384"/>
      <c r="D174" s="776"/>
      <c r="G174" s="385"/>
      <c r="H174" s="385"/>
      <c r="I174" s="385"/>
      <c r="J174" s="385"/>
      <c r="K174" s="385"/>
      <c r="L174" s="385"/>
      <c r="M174" s="385"/>
      <c r="N174" s="385"/>
      <c r="O174" s="385"/>
      <c r="P174" s="385"/>
      <c r="Q174" s="385"/>
    </row>
    <row r="175" spans="2:17" x14ac:dyDescent="0.25">
      <c r="B175" s="386"/>
      <c r="C175" s="384"/>
      <c r="D175" s="776"/>
      <c r="G175" s="385"/>
      <c r="H175" s="385"/>
      <c r="I175" s="385"/>
      <c r="J175" s="385"/>
      <c r="K175" s="385"/>
      <c r="L175" s="385"/>
      <c r="M175" s="385"/>
      <c r="N175" s="385"/>
      <c r="O175" s="385"/>
      <c r="P175" s="385"/>
      <c r="Q175" s="385"/>
    </row>
    <row r="176" spans="2:17" x14ac:dyDescent="0.25">
      <c r="B176" s="389"/>
      <c r="C176" s="384"/>
      <c r="D176" s="776"/>
      <c r="G176" s="385"/>
      <c r="H176" s="385"/>
      <c r="I176" s="385"/>
      <c r="J176" s="385"/>
      <c r="K176" s="385"/>
      <c r="L176" s="385"/>
      <c r="M176" s="385"/>
      <c r="N176" s="385"/>
      <c r="O176" s="385"/>
      <c r="P176" s="385"/>
      <c r="Q176" s="385"/>
    </row>
    <row r="177" spans="2:17" x14ac:dyDescent="0.25">
      <c r="C177" s="384"/>
      <c r="D177" s="776"/>
      <c r="G177" s="385"/>
      <c r="H177" s="385"/>
      <c r="I177" s="385"/>
      <c r="J177" s="385"/>
      <c r="K177" s="385"/>
      <c r="L177" s="385"/>
      <c r="M177" s="385"/>
      <c r="N177" s="385"/>
      <c r="O177" s="385"/>
      <c r="P177" s="385"/>
      <c r="Q177" s="385"/>
    </row>
    <row r="178" spans="2:17" x14ac:dyDescent="0.25">
      <c r="B178" s="389"/>
      <c r="C178" s="384"/>
      <c r="D178" s="776"/>
      <c r="G178" s="385"/>
      <c r="H178" s="385"/>
      <c r="I178" s="385"/>
      <c r="J178" s="385"/>
      <c r="K178" s="385"/>
      <c r="L178" s="385"/>
      <c r="M178" s="385"/>
      <c r="N178" s="385"/>
      <c r="O178" s="385"/>
      <c r="P178" s="385"/>
      <c r="Q178" s="385"/>
    </row>
    <row r="179" spans="2:17" x14ac:dyDescent="0.25">
      <c r="C179" s="384"/>
      <c r="D179" s="776"/>
      <c r="G179" s="385"/>
      <c r="H179" s="385"/>
      <c r="I179" s="385"/>
      <c r="J179" s="385"/>
      <c r="K179" s="385"/>
      <c r="L179" s="385"/>
      <c r="M179" s="385"/>
      <c r="N179" s="385"/>
      <c r="O179" s="385"/>
      <c r="P179" s="385"/>
      <c r="Q179" s="385"/>
    </row>
    <row r="180" spans="2:17" x14ac:dyDescent="0.25">
      <c r="B180" s="386"/>
      <c r="C180" s="384"/>
      <c r="D180" s="776"/>
      <c r="G180" s="385"/>
      <c r="H180" s="385"/>
      <c r="I180" s="385"/>
      <c r="J180" s="385"/>
      <c r="K180" s="385"/>
      <c r="L180" s="385"/>
      <c r="M180" s="385"/>
      <c r="N180" s="385"/>
      <c r="O180" s="385"/>
      <c r="P180" s="385"/>
      <c r="Q180" s="385"/>
    </row>
    <row r="181" spans="2:17" x14ac:dyDescent="0.25">
      <c r="B181" s="386"/>
      <c r="C181" s="384"/>
      <c r="D181" s="776"/>
      <c r="G181" s="385"/>
      <c r="H181" s="385"/>
      <c r="I181" s="385"/>
      <c r="J181" s="385"/>
      <c r="K181" s="385"/>
      <c r="L181" s="385"/>
      <c r="M181" s="385"/>
      <c r="N181" s="385"/>
      <c r="O181" s="385"/>
      <c r="P181" s="385"/>
      <c r="Q181" s="385"/>
    </row>
    <row r="182" spans="2:17" x14ac:dyDescent="0.25">
      <c r="B182" s="386"/>
      <c r="C182" s="384"/>
      <c r="D182" s="776"/>
      <c r="G182" s="385"/>
      <c r="H182" s="385"/>
      <c r="I182" s="385"/>
      <c r="J182" s="385"/>
      <c r="K182" s="385"/>
      <c r="L182" s="385"/>
      <c r="M182" s="385"/>
      <c r="N182" s="385"/>
      <c r="O182" s="385"/>
      <c r="P182" s="385"/>
      <c r="Q182" s="385"/>
    </row>
    <row r="183" spans="2:17" x14ac:dyDescent="0.25">
      <c r="B183" s="389"/>
      <c r="C183" s="384"/>
      <c r="D183" s="776"/>
      <c r="G183" s="385"/>
      <c r="H183" s="385"/>
      <c r="I183" s="385"/>
      <c r="J183" s="385"/>
      <c r="K183" s="385"/>
      <c r="L183" s="385"/>
      <c r="M183" s="385"/>
      <c r="N183" s="385"/>
      <c r="O183" s="385"/>
      <c r="P183" s="385"/>
      <c r="Q183" s="385"/>
    </row>
    <row r="184" spans="2:17" x14ac:dyDescent="0.25">
      <c r="C184" s="384"/>
      <c r="D184" s="776"/>
      <c r="G184" s="385"/>
      <c r="H184" s="385"/>
      <c r="I184" s="385"/>
      <c r="J184" s="385"/>
      <c r="K184" s="385"/>
      <c r="L184" s="385"/>
      <c r="M184" s="385"/>
      <c r="N184" s="385"/>
      <c r="O184" s="385"/>
      <c r="P184" s="385"/>
      <c r="Q184" s="385"/>
    </row>
    <row r="185" spans="2:17" x14ac:dyDescent="0.25">
      <c r="B185" s="386"/>
      <c r="C185" s="384"/>
      <c r="D185" s="776"/>
      <c r="G185" s="385"/>
      <c r="H185" s="385"/>
      <c r="I185" s="385"/>
      <c r="J185" s="385"/>
      <c r="K185" s="385"/>
      <c r="L185" s="385"/>
      <c r="M185" s="385"/>
      <c r="N185" s="385"/>
      <c r="O185" s="385"/>
      <c r="P185" s="385"/>
      <c r="Q185" s="385"/>
    </row>
    <row r="186" spans="2:17" x14ac:dyDescent="0.25">
      <c r="B186" s="386"/>
      <c r="C186" s="384"/>
      <c r="D186" s="776"/>
      <c r="G186" s="385"/>
      <c r="H186" s="385"/>
      <c r="I186" s="385"/>
      <c r="J186" s="385"/>
      <c r="K186" s="385"/>
      <c r="L186" s="385"/>
      <c r="M186" s="385"/>
      <c r="N186" s="385"/>
      <c r="O186" s="385"/>
      <c r="P186" s="385"/>
      <c r="Q186" s="385"/>
    </row>
    <row r="187" spans="2:17" x14ac:dyDescent="0.25">
      <c r="B187" s="389"/>
      <c r="C187" s="384"/>
      <c r="D187" s="776"/>
      <c r="G187" s="385"/>
      <c r="H187" s="385"/>
      <c r="I187" s="385"/>
      <c r="J187" s="385"/>
      <c r="K187" s="385"/>
      <c r="L187" s="385"/>
      <c r="M187" s="385"/>
      <c r="N187" s="385"/>
      <c r="O187" s="385"/>
      <c r="P187" s="385"/>
      <c r="Q187" s="385"/>
    </row>
    <row r="188" spans="2:17" x14ac:dyDescent="0.25">
      <c r="C188" s="384"/>
      <c r="D188" s="776"/>
      <c r="G188" s="385"/>
      <c r="H188" s="385"/>
      <c r="I188" s="385"/>
      <c r="J188" s="385"/>
      <c r="K188" s="385"/>
      <c r="L188" s="385"/>
      <c r="M188" s="385"/>
      <c r="N188" s="385"/>
      <c r="O188" s="385"/>
      <c r="P188" s="385"/>
      <c r="Q188" s="385"/>
    </row>
    <row r="189" spans="2:17" x14ac:dyDescent="0.25">
      <c r="B189" s="388"/>
      <c r="C189" s="390"/>
      <c r="D189" s="777"/>
      <c r="G189" s="385"/>
      <c r="H189" s="385"/>
      <c r="I189" s="385"/>
      <c r="J189" s="385"/>
      <c r="K189" s="385"/>
      <c r="L189" s="385"/>
      <c r="M189" s="385"/>
      <c r="N189" s="385"/>
      <c r="O189" s="385"/>
      <c r="P189" s="385"/>
      <c r="Q189" s="385"/>
    </row>
    <row r="190" spans="2:17" x14ac:dyDescent="0.25">
      <c r="B190" s="389"/>
      <c r="C190" s="384"/>
      <c r="D190" s="776"/>
      <c r="G190" s="385"/>
      <c r="H190" s="385"/>
      <c r="I190" s="385"/>
      <c r="J190" s="385"/>
      <c r="K190" s="385"/>
      <c r="L190" s="385"/>
      <c r="M190" s="385"/>
      <c r="N190" s="385"/>
      <c r="O190" s="385"/>
      <c r="P190" s="385"/>
      <c r="Q190" s="385"/>
    </row>
    <row r="191" spans="2:17" x14ac:dyDescent="0.25">
      <c r="B191" s="389"/>
      <c r="C191" s="384"/>
      <c r="D191" s="776"/>
      <c r="G191" s="385"/>
      <c r="H191" s="385"/>
      <c r="I191" s="385"/>
      <c r="J191" s="385"/>
      <c r="K191" s="385"/>
      <c r="L191" s="385"/>
      <c r="M191" s="385"/>
      <c r="N191" s="385"/>
      <c r="O191" s="385"/>
      <c r="P191" s="385"/>
      <c r="Q191" s="385"/>
    </row>
    <row r="192" spans="2:17" x14ac:dyDescent="0.25">
      <c r="C192" s="390"/>
      <c r="D192" s="777"/>
      <c r="G192" s="385"/>
      <c r="H192" s="385"/>
      <c r="I192" s="385"/>
      <c r="J192" s="385"/>
      <c r="K192" s="385"/>
      <c r="L192" s="385"/>
      <c r="M192" s="385"/>
      <c r="N192" s="385"/>
      <c r="O192" s="385"/>
      <c r="P192" s="385"/>
      <c r="Q192" s="385"/>
    </row>
    <row r="193" spans="1:17" x14ac:dyDescent="0.25">
      <c r="G193" s="385"/>
      <c r="H193" s="385"/>
      <c r="I193" s="385"/>
      <c r="J193" s="385"/>
      <c r="K193" s="385"/>
      <c r="L193" s="385"/>
      <c r="M193" s="385"/>
      <c r="N193" s="385"/>
      <c r="O193" s="385"/>
      <c r="P193" s="385"/>
      <c r="Q193" s="385"/>
    </row>
    <row r="194" spans="1:17" x14ac:dyDescent="0.25">
      <c r="O194" s="391"/>
      <c r="P194" s="391"/>
      <c r="Q194" s="391"/>
    </row>
    <row r="196" spans="1:17" x14ac:dyDescent="0.25">
      <c r="A196" s="381"/>
      <c r="C196" s="381"/>
      <c r="D196" s="775"/>
      <c r="E196" s="382"/>
    </row>
    <row r="197" spans="1:17" x14ac:dyDescent="0.25">
      <c r="B197" s="386"/>
      <c r="C197" s="384"/>
      <c r="D197" s="776"/>
      <c r="E197" s="380"/>
      <c r="G197" s="385"/>
      <c r="H197" s="385"/>
      <c r="I197" s="385"/>
      <c r="J197" s="385"/>
      <c r="K197" s="385"/>
      <c r="L197" s="385"/>
      <c r="M197" s="385"/>
      <c r="N197" s="385"/>
      <c r="O197" s="385"/>
      <c r="P197" s="385"/>
      <c r="Q197" s="385"/>
    </row>
    <row r="198" spans="1:17" x14ac:dyDescent="0.25">
      <c r="B198" s="386"/>
      <c r="C198" s="384"/>
      <c r="D198" s="776"/>
      <c r="E198" s="380"/>
      <c r="F198" s="380"/>
      <c r="G198" s="387"/>
      <c r="H198" s="387"/>
      <c r="I198" s="387"/>
      <c r="J198" s="387"/>
      <c r="K198" s="387"/>
      <c r="L198" s="387"/>
      <c r="M198" s="387"/>
      <c r="N198" s="387"/>
      <c r="O198" s="387"/>
      <c r="P198" s="387"/>
      <c r="Q198" s="387"/>
    </row>
    <row r="199" spans="1:17" x14ac:dyDescent="0.25">
      <c r="B199" s="386"/>
      <c r="C199" s="384"/>
      <c r="D199" s="776"/>
      <c r="G199" s="385"/>
      <c r="H199" s="385"/>
      <c r="I199" s="385"/>
      <c r="J199" s="385"/>
      <c r="K199" s="385"/>
      <c r="L199" s="385"/>
      <c r="M199" s="385"/>
      <c r="N199" s="385"/>
      <c r="O199" s="385"/>
      <c r="P199" s="385"/>
      <c r="Q199" s="385"/>
    </row>
    <row r="200" spans="1:17" x14ac:dyDescent="0.25">
      <c r="B200" s="386"/>
      <c r="C200" s="384"/>
      <c r="D200" s="776"/>
      <c r="G200" s="385"/>
      <c r="H200" s="385"/>
      <c r="I200" s="385"/>
      <c r="J200" s="385"/>
      <c r="K200" s="385"/>
      <c r="L200" s="385"/>
      <c r="M200" s="385"/>
      <c r="N200" s="385"/>
      <c r="O200" s="385"/>
      <c r="P200" s="385"/>
      <c r="Q200" s="385"/>
    </row>
    <row r="201" spans="1:17" x14ac:dyDescent="0.25">
      <c r="B201" s="386"/>
      <c r="C201" s="384"/>
      <c r="D201" s="776"/>
      <c r="G201" s="385"/>
      <c r="H201" s="385"/>
      <c r="I201" s="385"/>
      <c r="J201" s="385"/>
      <c r="K201" s="385"/>
      <c r="L201" s="385"/>
      <c r="M201" s="385"/>
      <c r="N201" s="385"/>
      <c r="O201" s="385"/>
      <c r="P201" s="385"/>
      <c r="Q201" s="385"/>
    </row>
    <row r="202" spans="1:17" x14ac:dyDescent="0.25">
      <c r="B202" s="386"/>
      <c r="C202" s="384"/>
      <c r="D202" s="776"/>
      <c r="G202" s="385"/>
      <c r="H202" s="385"/>
      <c r="I202" s="385"/>
      <c r="J202" s="385"/>
      <c r="K202" s="385"/>
      <c r="L202" s="385"/>
      <c r="M202" s="385"/>
      <c r="N202" s="385"/>
      <c r="O202" s="385"/>
      <c r="P202" s="385"/>
      <c r="Q202" s="385"/>
    </row>
    <row r="203" spans="1:17" x14ac:dyDescent="0.25">
      <c r="B203" s="388"/>
      <c r="C203" s="384"/>
      <c r="D203" s="776"/>
      <c r="G203" s="385"/>
      <c r="H203" s="385"/>
      <c r="I203" s="385"/>
      <c r="J203" s="385"/>
      <c r="K203" s="385"/>
      <c r="L203" s="385"/>
      <c r="M203" s="385"/>
      <c r="N203" s="385"/>
      <c r="O203" s="385"/>
      <c r="P203" s="385"/>
      <c r="Q203" s="385"/>
    </row>
    <row r="204" spans="1:17" x14ac:dyDescent="0.25">
      <c r="C204" s="384"/>
      <c r="D204" s="776"/>
      <c r="G204" s="385"/>
      <c r="H204" s="385"/>
      <c r="I204" s="385"/>
      <c r="J204" s="385"/>
      <c r="K204" s="385"/>
      <c r="L204" s="385"/>
      <c r="M204" s="385"/>
      <c r="N204" s="385"/>
      <c r="O204" s="385"/>
      <c r="P204" s="385"/>
      <c r="Q204" s="385"/>
    </row>
    <row r="205" spans="1:17" x14ac:dyDescent="0.25">
      <c r="B205" s="386"/>
      <c r="C205" s="384"/>
      <c r="D205" s="776"/>
      <c r="G205" s="385"/>
      <c r="H205" s="385"/>
      <c r="I205" s="385"/>
      <c r="J205" s="385"/>
      <c r="K205" s="385"/>
      <c r="L205" s="385"/>
      <c r="M205" s="385"/>
      <c r="N205" s="385"/>
      <c r="O205" s="385"/>
      <c r="P205" s="385"/>
      <c r="Q205" s="385"/>
    </row>
    <row r="206" spans="1:17" x14ac:dyDescent="0.25">
      <c r="B206" s="386"/>
      <c r="C206" s="384"/>
      <c r="D206" s="776"/>
      <c r="G206" s="385"/>
      <c r="H206" s="385"/>
      <c r="I206" s="385"/>
      <c r="J206" s="385"/>
      <c r="K206" s="385"/>
      <c r="L206" s="385"/>
      <c r="M206" s="385"/>
      <c r="N206" s="385"/>
      <c r="O206" s="385"/>
      <c r="P206" s="385"/>
      <c r="Q206" s="385"/>
    </row>
    <row r="207" spans="1:17" x14ac:dyDescent="0.25">
      <c r="B207" s="386"/>
      <c r="C207" s="384"/>
      <c r="D207" s="776"/>
      <c r="G207" s="385"/>
      <c r="H207" s="385"/>
      <c r="I207" s="385"/>
      <c r="J207" s="385"/>
      <c r="K207" s="385"/>
      <c r="L207" s="385"/>
      <c r="M207" s="385"/>
      <c r="N207" s="385"/>
      <c r="O207" s="385"/>
      <c r="P207" s="385"/>
      <c r="Q207" s="385"/>
    </row>
    <row r="208" spans="1:17" x14ac:dyDescent="0.25">
      <c r="B208" s="386"/>
      <c r="C208" s="384"/>
      <c r="D208" s="776"/>
      <c r="G208" s="385"/>
      <c r="H208" s="385"/>
      <c r="I208" s="385"/>
      <c r="J208" s="385"/>
      <c r="K208" s="385"/>
      <c r="L208" s="385"/>
      <c r="M208" s="385"/>
      <c r="N208" s="385"/>
      <c r="O208" s="385"/>
      <c r="P208" s="385"/>
      <c r="Q208" s="385"/>
    </row>
    <row r="209" spans="2:17" x14ac:dyDescent="0.25">
      <c r="C209" s="384"/>
      <c r="D209" s="776"/>
      <c r="G209" s="385"/>
      <c r="H209" s="385"/>
      <c r="I209" s="385"/>
      <c r="J209" s="385"/>
      <c r="K209" s="385"/>
      <c r="L209" s="385"/>
      <c r="M209" s="385"/>
      <c r="N209" s="385"/>
      <c r="O209" s="385"/>
      <c r="P209" s="385"/>
      <c r="Q209" s="385"/>
    </row>
    <row r="210" spans="2:17" x14ac:dyDescent="0.25">
      <c r="B210" s="386"/>
      <c r="C210" s="384"/>
      <c r="D210" s="776"/>
      <c r="G210" s="385"/>
      <c r="H210" s="385"/>
      <c r="I210" s="385"/>
      <c r="J210" s="385"/>
      <c r="K210" s="385"/>
      <c r="L210" s="385"/>
      <c r="M210" s="385"/>
      <c r="N210" s="385"/>
      <c r="O210" s="385"/>
      <c r="P210" s="385"/>
      <c r="Q210" s="385"/>
    </row>
    <row r="211" spans="2:17" x14ac:dyDescent="0.25">
      <c r="B211" s="386"/>
      <c r="C211" s="384"/>
      <c r="D211" s="776"/>
      <c r="G211" s="385"/>
      <c r="H211" s="385"/>
      <c r="I211" s="385"/>
      <c r="J211" s="385"/>
      <c r="K211" s="385"/>
      <c r="L211" s="385"/>
      <c r="M211" s="385"/>
      <c r="N211" s="385"/>
      <c r="O211" s="385"/>
      <c r="P211" s="385"/>
      <c r="Q211" s="385"/>
    </row>
    <row r="212" spans="2:17" x14ac:dyDescent="0.25">
      <c r="B212" s="386"/>
      <c r="C212" s="384"/>
      <c r="D212" s="776"/>
      <c r="G212" s="385"/>
      <c r="H212" s="385"/>
      <c r="I212" s="385"/>
      <c r="J212" s="385"/>
      <c r="K212" s="385"/>
      <c r="L212" s="385"/>
      <c r="M212" s="385"/>
      <c r="N212" s="385"/>
      <c r="O212" s="385"/>
      <c r="P212" s="385"/>
      <c r="Q212" s="385"/>
    </row>
    <row r="213" spans="2:17" x14ac:dyDescent="0.25">
      <c r="B213" s="388"/>
      <c r="C213" s="384"/>
      <c r="D213" s="776"/>
      <c r="G213" s="385"/>
      <c r="H213" s="385"/>
      <c r="I213" s="385"/>
      <c r="J213" s="385"/>
      <c r="K213" s="385"/>
      <c r="L213" s="385"/>
      <c r="M213" s="385"/>
      <c r="N213" s="385"/>
      <c r="O213" s="385"/>
      <c r="P213" s="385"/>
      <c r="Q213" s="385"/>
    </row>
    <row r="214" spans="2:17" x14ac:dyDescent="0.25">
      <c r="B214" s="386"/>
      <c r="C214" s="384"/>
      <c r="D214" s="776"/>
      <c r="G214" s="385"/>
      <c r="H214" s="385"/>
      <c r="I214" s="385"/>
      <c r="J214" s="385"/>
      <c r="K214" s="385"/>
      <c r="L214" s="385"/>
      <c r="M214" s="385"/>
      <c r="N214" s="385"/>
      <c r="O214" s="385"/>
      <c r="P214" s="385"/>
      <c r="Q214" s="385"/>
    </row>
    <row r="215" spans="2:17" x14ac:dyDescent="0.25">
      <c r="B215" s="386"/>
      <c r="C215" s="384"/>
      <c r="D215" s="776"/>
      <c r="G215" s="385"/>
      <c r="H215" s="385"/>
      <c r="I215" s="385"/>
      <c r="J215" s="385"/>
      <c r="K215" s="385"/>
      <c r="L215" s="385"/>
      <c r="M215" s="385"/>
      <c r="N215" s="385"/>
      <c r="O215" s="385"/>
      <c r="P215" s="385"/>
      <c r="Q215" s="385"/>
    </row>
    <row r="216" spans="2:17" x14ac:dyDescent="0.25">
      <c r="B216" s="386"/>
      <c r="C216" s="384"/>
      <c r="D216" s="776"/>
      <c r="G216" s="385"/>
      <c r="H216" s="385"/>
      <c r="I216" s="385"/>
      <c r="J216" s="385"/>
      <c r="K216" s="385"/>
      <c r="L216" s="385"/>
      <c r="M216" s="385"/>
      <c r="N216" s="385"/>
      <c r="O216" s="385"/>
      <c r="P216" s="385"/>
      <c r="Q216" s="385"/>
    </row>
    <row r="217" spans="2:17" x14ac:dyDescent="0.25">
      <c r="B217" s="386"/>
      <c r="C217" s="384"/>
      <c r="D217" s="776"/>
      <c r="G217" s="385"/>
      <c r="H217" s="385"/>
      <c r="I217" s="385"/>
      <c r="J217" s="385"/>
      <c r="K217" s="385"/>
      <c r="L217" s="385"/>
      <c r="M217" s="385"/>
      <c r="N217" s="385"/>
      <c r="O217" s="385"/>
      <c r="P217" s="385"/>
      <c r="Q217" s="385"/>
    </row>
    <row r="218" spans="2:17" x14ac:dyDescent="0.25">
      <c r="B218" s="386"/>
      <c r="C218" s="384"/>
      <c r="D218" s="776"/>
      <c r="G218" s="385"/>
      <c r="H218" s="385"/>
      <c r="I218" s="385"/>
      <c r="J218" s="385"/>
      <c r="K218" s="385"/>
      <c r="L218" s="385"/>
      <c r="M218" s="385"/>
      <c r="N218" s="385"/>
      <c r="O218" s="385"/>
      <c r="P218" s="385"/>
      <c r="Q218" s="385"/>
    </row>
    <row r="219" spans="2:17" x14ac:dyDescent="0.25">
      <c r="B219" s="386"/>
      <c r="C219" s="384"/>
      <c r="D219" s="776"/>
      <c r="G219" s="385"/>
      <c r="H219" s="385"/>
      <c r="I219" s="385"/>
      <c r="J219" s="385"/>
      <c r="K219" s="385"/>
      <c r="L219" s="385"/>
      <c r="M219" s="385"/>
      <c r="N219" s="385"/>
      <c r="O219" s="385"/>
      <c r="P219" s="385"/>
      <c r="Q219" s="385"/>
    </row>
    <row r="220" spans="2:17" x14ac:dyDescent="0.25">
      <c r="B220" s="386"/>
      <c r="C220" s="384"/>
      <c r="D220" s="776"/>
      <c r="G220" s="385"/>
      <c r="H220" s="385"/>
      <c r="I220" s="385"/>
      <c r="J220" s="385"/>
      <c r="K220" s="385"/>
      <c r="L220" s="385"/>
      <c r="M220" s="385"/>
      <c r="N220" s="385"/>
      <c r="O220" s="385"/>
      <c r="P220" s="385"/>
      <c r="Q220" s="385"/>
    </row>
    <row r="221" spans="2:17" x14ac:dyDescent="0.25">
      <c r="B221" s="386"/>
      <c r="C221" s="384"/>
      <c r="D221" s="776"/>
      <c r="G221" s="385"/>
      <c r="H221" s="385"/>
      <c r="I221" s="385"/>
      <c r="J221" s="385"/>
      <c r="K221" s="385"/>
      <c r="L221" s="385"/>
      <c r="M221" s="385"/>
      <c r="N221" s="385"/>
      <c r="O221" s="385"/>
      <c r="P221" s="385"/>
      <c r="Q221" s="385"/>
    </row>
    <row r="222" spans="2:17" x14ac:dyDescent="0.25">
      <c r="B222" s="389"/>
      <c r="C222" s="384"/>
      <c r="D222" s="776"/>
      <c r="G222" s="385"/>
      <c r="H222" s="385"/>
      <c r="I222" s="385"/>
      <c r="J222" s="385"/>
      <c r="K222" s="385"/>
      <c r="L222" s="385"/>
      <c r="M222" s="385"/>
      <c r="N222" s="385"/>
      <c r="O222" s="385"/>
      <c r="P222" s="385"/>
      <c r="Q222" s="385"/>
    </row>
    <row r="223" spans="2:17" x14ac:dyDescent="0.25">
      <c r="C223" s="384"/>
      <c r="D223" s="776"/>
      <c r="G223" s="385"/>
      <c r="H223" s="385"/>
      <c r="I223" s="385"/>
      <c r="J223" s="385"/>
      <c r="K223" s="385"/>
      <c r="L223" s="385"/>
      <c r="M223" s="385"/>
      <c r="N223" s="385"/>
      <c r="O223" s="385"/>
      <c r="P223" s="385"/>
      <c r="Q223" s="385"/>
    </row>
    <row r="224" spans="2:17" x14ac:dyDescent="0.25">
      <c r="B224" s="389"/>
      <c r="C224" s="384"/>
      <c r="D224" s="776"/>
      <c r="G224" s="385"/>
      <c r="H224" s="385"/>
      <c r="I224" s="385"/>
      <c r="J224" s="385"/>
      <c r="K224" s="385"/>
      <c r="L224" s="385"/>
      <c r="M224" s="385"/>
      <c r="N224" s="385"/>
      <c r="O224" s="385"/>
      <c r="P224" s="385"/>
      <c r="Q224" s="385"/>
    </row>
    <row r="225" spans="2:17" x14ac:dyDescent="0.25">
      <c r="C225" s="384"/>
      <c r="D225" s="776"/>
      <c r="G225" s="385"/>
      <c r="H225" s="385"/>
      <c r="I225" s="385"/>
      <c r="J225" s="385"/>
      <c r="K225" s="385"/>
      <c r="L225" s="385"/>
      <c r="M225" s="385"/>
      <c r="N225" s="385"/>
      <c r="O225" s="385"/>
      <c r="P225" s="385"/>
      <c r="Q225" s="385"/>
    </row>
    <row r="226" spans="2:17" x14ac:dyDescent="0.25">
      <c r="B226" s="386"/>
      <c r="C226" s="384"/>
      <c r="D226" s="776"/>
      <c r="G226" s="385"/>
      <c r="H226" s="385"/>
      <c r="I226" s="385"/>
      <c r="J226" s="385"/>
      <c r="K226" s="385"/>
      <c r="L226" s="385"/>
      <c r="M226" s="385"/>
      <c r="N226" s="385"/>
      <c r="O226" s="385"/>
      <c r="P226" s="385"/>
      <c r="Q226" s="385"/>
    </row>
    <row r="227" spans="2:17" x14ac:dyDescent="0.25">
      <c r="B227" s="386"/>
      <c r="C227" s="384"/>
      <c r="D227" s="776"/>
      <c r="G227" s="385"/>
      <c r="H227" s="385"/>
      <c r="I227" s="385"/>
      <c r="J227" s="385"/>
      <c r="K227" s="385"/>
      <c r="L227" s="385"/>
      <c r="M227" s="385"/>
      <c r="N227" s="385"/>
      <c r="O227" s="385"/>
      <c r="P227" s="385"/>
      <c r="Q227" s="385"/>
    </row>
    <row r="228" spans="2:17" x14ac:dyDescent="0.25">
      <c r="B228" s="386"/>
      <c r="C228" s="384"/>
      <c r="D228" s="776"/>
      <c r="G228" s="385"/>
      <c r="H228" s="385"/>
      <c r="I228" s="385"/>
      <c r="J228" s="385"/>
      <c r="K228" s="385"/>
      <c r="L228" s="385"/>
      <c r="M228" s="385"/>
      <c r="N228" s="385"/>
      <c r="O228" s="385"/>
      <c r="P228" s="385"/>
      <c r="Q228" s="385"/>
    </row>
    <row r="229" spans="2:17" x14ac:dyDescent="0.25">
      <c r="B229" s="389"/>
      <c r="C229" s="384"/>
      <c r="D229" s="776"/>
      <c r="G229" s="385"/>
      <c r="H229" s="385"/>
      <c r="I229" s="385"/>
      <c r="J229" s="385"/>
      <c r="K229" s="385"/>
      <c r="L229" s="385"/>
      <c r="M229" s="385"/>
      <c r="N229" s="385"/>
      <c r="O229" s="385"/>
      <c r="P229" s="385"/>
      <c r="Q229" s="385"/>
    </row>
    <row r="230" spans="2:17" x14ac:dyDescent="0.25">
      <c r="C230" s="384"/>
      <c r="D230" s="776"/>
      <c r="G230" s="385"/>
      <c r="H230" s="385"/>
      <c r="I230" s="385"/>
      <c r="J230" s="385"/>
      <c r="K230" s="385"/>
      <c r="L230" s="385"/>
      <c r="M230" s="385"/>
      <c r="N230" s="385"/>
      <c r="O230" s="385"/>
      <c r="P230" s="385"/>
      <c r="Q230" s="385"/>
    </row>
    <row r="231" spans="2:17" x14ac:dyDescent="0.25">
      <c r="B231" s="386"/>
      <c r="C231" s="384"/>
      <c r="D231" s="776"/>
      <c r="G231" s="385"/>
      <c r="H231" s="385"/>
      <c r="I231" s="385"/>
      <c r="J231" s="385"/>
      <c r="K231" s="385"/>
      <c r="L231" s="385"/>
      <c r="M231" s="385"/>
      <c r="N231" s="385"/>
      <c r="O231" s="385"/>
      <c r="P231" s="385"/>
      <c r="Q231" s="385"/>
    </row>
    <row r="232" spans="2:17" x14ac:dyDescent="0.25">
      <c r="B232" s="386"/>
      <c r="C232" s="384"/>
      <c r="D232" s="776"/>
      <c r="G232" s="385"/>
      <c r="H232" s="385"/>
      <c r="I232" s="385"/>
      <c r="J232" s="385"/>
      <c r="K232" s="385"/>
      <c r="L232" s="385"/>
      <c r="M232" s="385"/>
      <c r="N232" s="385"/>
      <c r="O232" s="385"/>
      <c r="P232" s="385"/>
      <c r="Q232" s="385"/>
    </row>
    <row r="233" spans="2:17" x14ac:dyDescent="0.25">
      <c r="B233" s="389"/>
      <c r="C233" s="384"/>
      <c r="D233" s="776"/>
      <c r="G233" s="385"/>
      <c r="H233" s="385"/>
      <c r="I233" s="385"/>
      <c r="J233" s="385"/>
      <c r="K233" s="385"/>
      <c r="L233" s="385"/>
      <c r="M233" s="385"/>
      <c r="N233" s="385"/>
      <c r="O233" s="385"/>
      <c r="P233" s="385"/>
      <c r="Q233" s="385"/>
    </row>
    <row r="234" spans="2:17" x14ac:dyDescent="0.25">
      <c r="C234" s="384"/>
      <c r="D234" s="776"/>
      <c r="G234" s="385"/>
      <c r="H234" s="385"/>
      <c r="I234" s="385"/>
      <c r="J234" s="385"/>
      <c r="K234" s="385"/>
      <c r="L234" s="385"/>
      <c r="M234" s="385"/>
      <c r="N234" s="385"/>
      <c r="O234" s="385"/>
      <c r="P234" s="385"/>
      <c r="Q234" s="385"/>
    </row>
    <row r="235" spans="2:17" x14ac:dyDescent="0.25">
      <c r="B235" s="388"/>
      <c r="C235" s="390"/>
      <c r="D235" s="777"/>
      <c r="G235" s="385"/>
      <c r="H235" s="385"/>
      <c r="I235" s="385"/>
      <c r="J235" s="385"/>
      <c r="K235" s="385"/>
      <c r="L235" s="385"/>
      <c r="M235" s="385"/>
      <c r="N235" s="385"/>
      <c r="O235" s="385"/>
      <c r="P235" s="385"/>
      <c r="Q235" s="385"/>
    </row>
    <row r="236" spans="2:17" x14ac:dyDescent="0.25">
      <c r="B236" s="389"/>
      <c r="C236" s="384"/>
      <c r="D236" s="776"/>
      <c r="G236" s="385"/>
      <c r="H236" s="385"/>
      <c r="I236" s="385"/>
      <c r="J236" s="385"/>
      <c r="K236" s="385"/>
      <c r="L236" s="385"/>
      <c r="M236" s="385"/>
      <c r="N236" s="385"/>
      <c r="O236" s="385"/>
      <c r="P236" s="385"/>
      <c r="Q236" s="385"/>
    </row>
    <row r="237" spans="2:17" x14ac:dyDescent="0.25">
      <c r="B237" s="389"/>
      <c r="C237" s="384"/>
      <c r="D237" s="776"/>
      <c r="G237" s="385"/>
      <c r="H237" s="385"/>
      <c r="I237" s="385"/>
      <c r="J237" s="385"/>
      <c r="K237" s="385"/>
      <c r="L237" s="385"/>
      <c r="M237" s="385"/>
      <c r="N237" s="385"/>
      <c r="O237" s="385"/>
      <c r="P237" s="385"/>
      <c r="Q237" s="385"/>
    </row>
    <row r="238" spans="2:17" x14ac:dyDescent="0.25">
      <c r="C238" s="390"/>
      <c r="D238" s="777"/>
      <c r="G238" s="385"/>
      <c r="H238" s="385"/>
      <c r="I238" s="385"/>
      <c r="J238" s="385"/>
      <c r="K238" s="385"/>
      <c r="L238" s="385"/>
      <c r="M238" s="385"/>
      <c r="N238" s="385"/>
      <c r="O238" s="385"/>
      <c r="P238" s="385"/>
      <c r="Q238" s="385"/>
    </row>
    <row r="239" spans="2:17" x14ac:dyDescent="0.25">
      <c r="G239" s="385"/>
      <c r="H239" s="385"/>
      <c r="I239" s="385"/>
      <c r="J239" s="385"/>
      <c r="K239" s="385"/>
      <c r="L239" s="385"/>
      <c r="M239" s="385"/>
      <c r="N239" s="385"/>
      <c r="O239" s="385"/>
      <c r="P239" s="385"/>
      <c r="Q239" s="385"/>
    </row>
    <row r="240" spans="2:17" x14ac:dyDescent="0.25">
      <c r="O240" s="391"/>
      <c r="P240" s="391"/>
      <c r="Q240" s="391"/>
    </row>
    <row r="243" spans="1:17" x14ac:dyDescent="0.25">
      <c r="A243" s="381"/>
      <c r="C243" s="381"/>
      <c r="D243" s="775"/>
      <c r="E243" s="382"/>
    </row>
    <row r="244" spans="1:17" x14ac:dyDescent="0.25">
      <c r="B244" s="386"/>
      <c r="C244" s="384"/>
      <c r="D244" s="776"/>
      <c r="E244" s="380"/>
      <c r="G244" s="385"/>
      <c r="H244" s="385"/>
      <c r="I244" s="385"/>
      <c r="J244" s="385"/>
      <c r="K244" s="385"/>
      <c r="L244" s="385"/>
      <c r="M244" s="385"/>
      <c r="N244" s="385"/>
      <c r="O244" s="385"/>
      <c r="P244" s="385"/>
      <c r="Q244" s="385"/>
    </row>
    <row r="245" spans="1:17" x14ac:dyDescent="0.25">
      <c r="B245" s="386"/>
      <c r="C245" s="384"/>
      <c r="D245" s="776"/>
      <c r="E245" s="380"/>
      <c r="F245" s="380"/>
      <c r="G245" s="387"/>
      <c r="H245" s="387"/>
      <c r="I245" s="387"/>
      <c r="J245" s="387"/>
      <c r="K245" s="387"/>
      <c r="L245" s="387"/>
      <c r="M245" s="387"/>
      <c r="N245" s="387"/>
      <c r="O245" s="387"/>
      <c r="P245" s="387"/>
      <c r="Q245" s="387"/>
    </row>
    <row r="246" spans="1:17" x14ac:dyDescent="0.25">
      <c r="B246" s="386"/>
      <c r="C246" s="384"/>
      <c r="D246" s="776"/>
      <c r="G246" s="385"/>
      <c r="H246" s="385"/>
      <c r="I246" s="385"/>
      <c r="J246" s="385"/>
      <c r="K246" s="385"/>
      <c r="L246" s="385"/>
      <c r="M246" s="385"/>
      <c r="N246" s="385"/>
      <c r="O246" s="385"/>
      <c r="P246" s="385"/>
      <c r="Q246" s="385"/>
    </row>
    <row r="247" spans="1:17" x14ac:dyDescent="0.25">
      <c r="B247" s="386"/>
      <c r="C247" s="384"/>
      <c r="D247" s="776"/>
      <c r="G247" s="385"/>
      <c r="H247" s="385"/>
      <c r="I247" s="385"/>
      <c r="J247" s="385"/>
      <c r="K247" s="385"/>
      <c r="L247" s="385"/>
      <c r="M247" s="385"/>
      <c r="N247" s="385"/>
      <c r="O247" s="385"/>
      <c r="P247" s="385"/>
      <c r="Q247" s="385"/>
    </row>
    <row r="248" spans="1:17" x14ac:dyDescent="0.25">
      <c r="B248" s="386"/>
      <c r="C248" s="384"/>
      <c r="D248" s="776"/>
      <c r="G248" s="385"/>
      <c r="H248" s="385"/>
      <c r="I248" s="385"/>
      <c r="J248" s="385"/>
      <c r="K248" s="385"/>
      <c r="L248" s="385"/>
      <c r="M248" s="385"/>
      <c r="N248" s="385"/>
      <c r="O248" s="385"/>
      <c r="P248" s="385"/>
      <c r="Q248" s="385"/>
    </row>
    <row r="249" spans="1:17" x14ac:dyDescent="0.25">
      <c r="B249" s="386"/>
      <c r="C249" s="384"/>
      <c r="D249" s="776"/>
      <c r="G249" s="385"/>
      <c r="H249" s="385"/>
      <c r="I249" s="385"/>
      <c r="J249" s="385"/>
      <c r="K249" s="385"/>
      <c r="L249" s="385"/>
      <c r="M249" s="385"/>
      <c r="N249" s="385"/>
      <c r="O249" s="385"/>
      <c r="P249" s="385"/>
      <c r="Q249" s="385"/>
    </row>
    <row r="250" spans="1:17" x14ac:dyDescent="0.25">
      <c r="B250" s="388"/>
      <c r="C250" s="384"/>
      <c r="D250" s="776"/>
      <c r="G250" s="385"/>
      <c r="H250" s="385"/>
      <c r="I250" s="385"/>
      <c r="J250" s="385"/>
      <c r="K250" s="385"/>
      <c r="L250" s="385"/>
      <c r="M250" s="385"/>
      <c r="N250" s="385"/>
      <c r="O250" s="385"/>
      <c r="P250" s="385"/>
      <c r="Q250" s="385"/>
    </row>
    <row r="251" spans="1:17" x14ac:dyDescent="0.25">
      <c r="C251" s="384"/>
      <c r="D251" s="776"/>
      <c r="G251" s="385"/>
      <c r="H251" s="385"/>
      <c r="I251" s="385"/>
      <c r="J251" s="385"/>
      <c r="K251" s="385"/>
      <c r="L251" s="385"/>
      <c r="M251" s="385"/>
      <c r="N251" s="385"/>
      <c r="O251" s="385"/>
      <c r="P251" s="385"/>
      <c r="Q251" s="385"/>
    </row>
    <row r="252" spans="1:17" x14ac:dyDescent="0.25">
      <c r="B252" s="386"/>
      <c r="C252" s="384"/>
      <c r="D252" s="776"/>
      <c r="G252" s="385"/>
      <c r="H252" s="385"/>
      <c r="I252" s="385"/>
      <c r="J252" s="385"/>
      <c r="K252" s="385"/>
      <c r="L252" s="385"/>
      <c r="M252" s="385"/>
      <c r="N252" s="385"/>
      <c r="O252" s="385"/>
      <c r="P252" s="385"/>
      <c r="Q252" s="385"/>
    </row>
    <row r="253" spans="1:17" x14ac:dyDescent="0.25">
      <c r="B253" s="386"/>
      <c r="C253" s="384"/>
      <c r="D253" s="776"/>
      <c r="G253" s="385"/>
      <c r="H253" s="385"/>
      <c r="I253" s="385"/>
      <c r="J253" s="385"/>
      <c r="K253" s="385"/>
      <c r="L253" s="385"/>
      <c r="M253" s="385"/>
      <c r="N253" s="385"/>
      <c r="O253" s="385"/>
      <c r="P253" s="385"/>
      <c r="Q253" s="385"/>
    </row>
    <row r="254" spans="1:17" x14ac:dyDescent="0.25">
      <c r="B254" s="386"/>
      <c r="C254" s="384"/>
      <c r="D254" s="776"/>
      <c r="G254" s="385"/>
      <c r="H254" s="385"/>
      <c r="I254" s="385"/>
      <c r="J254" s="385"/>
      <c r="K254" s="385"/>
      <c r="L254" s="385"/>
      <c r="M254" s="385"/>
      <c r="N254" s="385"/>
      <c r="O254" s="385"/>
      <c r="P254" s="385"/>
      <c r="Q254" s="385"/>
    </row>
    <row r="255" spans="1:17" x14ac:dyDescent="0.25">
      <c r="B255" s="386"/>
      <c r="C255" s="384"/>
      <c r="D255" s="776"/>
      <c r="G255" s="385"/>
      <c r="H255" s="385"/>
      <c r="I255" s="385"/>
      <c r="J255" s="385"/>
      <c r="K255" s="385"/>
      <c r="L255" s="385"/>
      <c r="M255" s="385"/>
      <c r="N255" s="385"/>
      <c r="O255" s="385"/>
      <c r="P255" s="385"/>
      <c r="Q255" s="385"/>
    </row>
    <row r="256" spans="1:17" x14ac:dyDescent="0.25">
      <c r="C256" s="384"/>
      <c r="D256" s="776"/>
      <c r="G256" s="385"/>
      <c r="H256" s="385"/>
      <c r="I256" s="385"/>
      <c r="J256" s="385"/>
      <c r="K256" s="385"/>
      <c r="L256" s="385"/>
      <c r="M256" s="385"/>
      <c r="N256" s="385"/>
      <c r="O256" s="385"/>
      <c r="P256" s="385"/>
      <c r="Q256" s="385"/>
    </row>
    <row r="257" spans="2:17" x14ac:dyDescent="0.25">
      <c r="B257" s="386"/>
      <c r="C257" s="384"/>
      <c r="D257" s="776"/>
      <c r="G257" s="385"/>
      <c r="H257" s="385"/>
      <c r="I257" s="385"/>
      <c r="J257" s="385"/>
      <c r="K257" s="385"/>
      <c r="L257" s="385"/>
      <c r="M257" s="385"/>
      <c r="N257" s="385"/>
      <c r="O257" s="385"/>
      <c r="P257" s="385"/>
      <c r="Q257" s="385"/>
    </row>
    <row r="258" spans="2:17" x14ac:dyDescent="0.25">
      <c r="B258" s="386"/>
      <c r="C258" s="384"/>
      <c r="D258" s="776"/>
      <c r="G258" s="385"/>
      <c r="H258" s="385"/>
      <c r="I258" s="385"/>
      <c r="J258" s="385"/>
      <c r="K258" s="385"/>
      <c r="L258" s="385"/>
      <c r="M258" s="385"/>
      <c r="N258" s="385"/>
      <c r="O258" s="385"/>
      <c r="P258" s="385"/>
      <c r="Q258" s="385"/>
    </row>
    <row r="259" spans="2:17" x14ac:dyDescent="0.25">
      <c r="B259" s="386"/>
      <c r="C259" s="384"/>
      <c r="D259" s="776"/>
      <c r="G259" s="385"/>
      <c r="H259" s="385"/>
      <c r="I259" s="385"/>
      <c r="J259" s="385"/>
      <c r="K259" s="385"/>
      <c r="L259" s="385"/>
      <c r="M259" s="385"/>
      <c r="N259" s="385"/>
      <c r="O259" s="385"/>
      <c r="P259" s="385"/>
      <c r="Q259" s="385"/>
    </row>
    <row r="260" spans="2:17" x14ac:dyDescent="0.25">
      <c r="B260" s="388"/>
      <c r="C260" s="384"/>
      <c r="D260" s="776"/>
      <c r="G260" s="385"/>
      <c r="H260" s="385"/>
      <c r="I260" s="385"/>
      <c r="J260" s="385"/>
      <c r="K260" s="385"/>
      <c r="L260" s="385"/>
      <c r="M260" s="385"/>
      <c r="N260" s="385"/>
      <c r="O260" s="385"/>
      <c r="P260" s="385"/>
      <c r="Q260" s="385"/>
    </row>
    <row r="261" spans="2:17" x14ac:dyDescent="0.25">
      <c r="B261" s="386"/>
      <c r="C261" s="384"/>
      <c r="D261" s="776"/>
      <c r="G261" s="385"/>
      <c r="H261" s="385"/>
      <c r="I261" s="385"/>
      <c r="J261" s="385"/>
      <c r="K261" s="385"/>
      <c r="L261" s="385"/>
      <c r="M261" s="385"/>
      <c r="N261" s="385"/>
      <c r="O261" s="385"/>
      <c r="P261" s="385"/>
      <c r="Q261" s="385"/>
    </row>
    <row r="262" spans="2:17" x14ac:dyDescent="0.25">
      <c r="B262" s="386"/>
      <c r="C262" s="384"/>
      <c r="D262" s="776"/>
      <c r="G262" s="385"/>
      <c r="H262" s="385"/>
      <c r="I262" s="385"/>
      <c r="J262" s="385"/>
      <c r="K262" s="385"/>
      <c r="L262" s="385"/>
      <c r="M262" s="385"/>
      <c r="N262" s="385"/>
      <c r="O262" s="385"/>
      <c r="P262" s="385"/>
      <c r="Q262" s="385"/>
    </row>
    <row r="263" spans="2:17" x14ac:dyDescent="0.25">
      <c r="B263" s="386"/>
      <c r="C263" s="384"/>
      <c r="D263" s="776"/>
      <c r="G263" s="385"/>
      <c r="H263" s="385"/>
      <c r="I263" s="385"/>
      <c r="J263" s="385"/>
      <c r="K263" s="385"/>
      <c r="L263" s="385"/>
      <c r="M263" s="385"/>
      <c r="N263" s="385"/>
      <c r="O263" s="385"/>
      <c r="P263" s="385"/>
      <c r="Q263" s="385"/>
    </row>
    <row r="264" spans="2:17" x14ac:dyDescent="0.25">
      <c r="B264" s="386"/>
      <c r="C264" s="384"/>
      <c r="D264" s="776"/>
      <c r="G264" s="385"/>
      <c r="H264" s="385"/>
      <c r="I264" s="385"/>
      <c r="J264" s="385"/>
      <c r="K264" s="385"/>
      <c r="L264" s="385"/>
      <c r="M264" s="385"/>
      <c r="N264" s="385"/>
      <c r="O264" s="385"/>
      <c r="P264" s="385"/>
      <c r="Q264" s="385"/>
    </row>
    <row r="265" spans="2:17" x14ac:dyDescent="0.25">
      <c r="B265" s="386"/>
      <c r="C265" s="384"/>
      <c r="D265" s="776"/>
      <c r="G265" s="385"/>
      <c r="H265" s="385"/>
      <c r="I265" s="385"/>
      <c r="J265" s="385"/>
      <c r="K265" s="385"/>
      <c r="L265" s="385"/>
      <c r="M265" s="385"/>
      <c r="N265" s="385"/>
      <c r="O265" s="385"/>
      <c r="P265" s="385"/>
      <c r="Q265" s="385"/>
    </row>
    <row r="266" spans="2:17" x14ac:dyDescent="0.25">
      <c r="B266" s="386"/>
      <c r="C266" s="384"/>
      <c r="D266" s="776"/>
      <c r="G266" s="385"/>
      <c r="H266" s="385"/>
      <c r="I266" s="385"/>
      <c r="J266" s="385"/>
      <c r="K266" s="385"/>
      <c r="L266" s="385"/>
      <c r="M266" s="385"/>
      <c r="N266" s="385"/>
      <c r="O266" s="385"/>
      <c r="P266" s="385"/>
      <c r="Q266" s="385"/>
    </row>
    <row r="267" spans="2:17" x14ac:dyDescent="0.25">
      <c r="B267" s="386"/>
      <c r="C267" s="384"/>
      <c r="D267" s="776"/>
      <c r="G267" s="385"/>
      <c r="H267" s="385"/>
      <c r="I267" s="385"/>
      <c r="J267" s="385"/>
      <c r="K267" s="385"/>
      <c r="L267" s="385"/>
      <c r="M267" s="385"/>
      <c r="N267" s="385"/>
      <c r="O267" s="385"/>
      <c r="P267" s="385"/>
      <c r="Q267" s="385"/>
    </row>
    <row r="268" spans="2:17" x14ac:dyDescent="0.25">
      <c r="B268" s="386"/>
      <c r="C268" s="384"/>
      <c r="D268" s="776"/>
      <c r="G268" s="385"/>
      <c r="H268" s="385"/>
      <c r="I268" s="385"/>
      <c r="J268" s="385"/>
      <c r="K268" s="385"/>
      <c r="L268" s="385"/>
      <c r="M268" s="385"/>
      <c r="N268" s="385"/>
      <c r="O268" s="385"/>
      <c r="P268" s="385"/>
      <c r="Q268" s="385"/>
    </row>
    <row r="269" spans="2:17" x14ac:dyDescent="0.25">
      <c r="B269" s="389"/>
      <c r="C269" s="384"/>
      <c r="D269" s="776"/>
      <c r="G269" s="385"/>
      <c r="H269" s="385"/>
      <c r="I269" s="385"/>
      <c r="J269" s="385"/>
      <c r="K269" s="385"/>
      <c r="L269" s="385"/>
      <c r="M269" s="385"/>
      <c r="N269" s="385"/>
      <c r="O269" s="385"/>
      <c r="P269" s="385"/>
      <c r="Q269" s="385"/>
    </row>
    <row r="270" spans="2:17" x14ac:dyDescent="0.25">
      <c r="C270" s="384"/>
      <c r="D270" s="776"/>
      <c r="G270" s="385"/>
      <c r="H270" s="385"/>
      <c r="I270" s="385"/>
      <c r="J270" s="385"/>
      <c r="K270" s="385"/>
      <c r="L270" s="385"/>
      <c r="M270" s="385"/>
      <c r="N270" s="385"/>
      <c r="O270" s="385"/>
      <c r="P270" s="385"/>
      <c r="Q270" s="385"/>
    </row>
    <row r="271" spans="2:17" x14ac:dyDescent="0.25">
      <c r="B271" s="389"/>
      <c r="C271" s="384"/>
      <c r="D271" s="776"/>
      <c r="G271" s="385"/>
      <c r="H271" s="385"/>
      <c r="I271" s="385"/>
      <c r="J271" s="385"/>
      <c r="K271" s="385"/>
      <c r="L271" s="385"/>
      <c r="M271" s="385"/>
      <c r="N271" s="385"/>
      <c r="O271" s="385"/>
      <c r="P271" s="385"/>
      <c r="Q271" s="385"/>
    </row>
    <row r="272" spans="2:17" x14ac:dyDescent="0.25">
      <c r="C272" s="384"/>
      <c r="D272" s="776"/>
      <c r="G272" s="385"/>
      <c r="H272" s="385"/>
      <c r="I272" s="385"/>
      <c r="J272" s="385"/>
      <c r="K272" s="385"/>
      <c r="L272" s="385"/>
      <c r="M272" s="385"/>
      <c r="N272" s="385"/>
      <c r="O272" s="385"/>
      <c r="P272" s="385"/>
      <c r="Q272" s="385"/>
    </row>
    <row r="273" spans="2:18" x14ac:dyDescent="0.25">
      <c r="B273" s="386"/>
      <c r="C273" s="384"/>
      <c r="D273" s="776"/>
      <c r="G273" s="385"/>
      <c r="H273" s="385"/>
      <c r="I273" s="385"/>
      <c r="J273" s="385"/>
      <c r="K273" s="385"/>
      <c r="L273" s="385"/>
      <c r="M273" s="385"/>
      <c r="N273" s="385"/>
      <c r="O273" s="385"/>
      <c r="P273" s="385"/>
      <c r="Q273" s="385"/>
    </row>
    <row r="274" spans="2:18" x14ac:dyDescent="0.25">
      <c r="B274" s="386"/>
      <c r="C274" s="384"/>
      <c r="D274" s="776"/>
      <c r="G274" s="385"/>
      <c r="H274" s="385"/>
      <c r="I274" s="385"/>
      <c r="J274" s="385"/>
      <c r="K274" s="385"/>
      <c r="L274" s="385"/>
      <c r="M274" s="385"/>
      <c r="N274" s="385"/>
      <c r="O274" s="385"/>
      <c r="P274" s="385"/>
      <c r="Q274" s="385"/>
    </row>
    <row r="275" spans="2:18" x14ac:dyDescent="0.25">
      <c r="B275" s="386"/>
      <c r="C275" s="384"/>
      <c r="D275" s="776"/>
      <c r="G275" s="385"/>
      <c r="H275" s="385"/>
      <c r="I275" s="385"/>
      <c r="J275" s="385"/>
      <c r="K275" s="385"/>
      <c r="L275" s="385"/>
      <c r="M275" s="385"/>
      <c r="N275" s="385"/>
      <c r="O275" s="385"/>
      <c r="P275" s="385"/>
      <c r="Q275" s="385"/>
    </row>
    <row r="276" spans="2:18" x14ac:dyDescent="0.25">
      <c r="B276" s="389"/>
      <c r="C276" s="384"/>
      <c r="D276" s="776"/>
      <c r="G276" s="385"/>
      <c r="H276" s="385"/>
      <c r="I276" s="385"/>
      <c r="J276" s="385"/>
      <c r="K276" s="385"/>
      <c r="L276" s="385"/>
      <c r="M276" s="385"/>
      <c r="N276" s="385"/>
      <c r="O276" s="385"/>
      <c r="P276" s="385"/>
      <c r="Q276" s="385"/>
    </row>
    <row r="277" spans="2:18" x14ac:dyDescent="0.25">
      <c r="C277" s="384"/>
      <c r="D277" s="776"/>
      <c r="G277" s="385"/>
      <c r="H277" s="385"/>
      <c r="I277" s="385"/>
      <c r="J277" s="385"/>
      <c r="K277" s="385"/>
      <c r="L277" s="385"/>
      <c r="M277" s="385"/>
      <c r="N277" s="385"/>
      <c r="O277" s="385"/>
      <c r="P277" s="385"/>
      <c r="Q277" s="385"/>
    </row>
    <row r="278" spans="2:18" x14ac:dyDescent="0.25">
      <c r="B278" s="386"/>
      <c r="C278" s="384"/>
      <c r="D278" s="776"/>
      <c r="G278" s="385"/>
      <c r="H278" s="385"/>
      <c r="I278" s="385"/>
      <c r="J278" s="385"/>
      <c r="K278" s="385"/>
      <c r="L278" s="385"/>
      <c r="M278" s="385"/>
      <c r="N278" s="385"/>
      <c r="O278" s="385"/>
      <c r="P278" s="385"/>
      <c r="Q278" s="385"/>
    </row>
    <row r="279" spans="2:18" x14ac:dyDescent="0.25">
      <c r="B279" s="386"/>
      <c r="C279" s="384"/>
      <c r="D279" s="776"/>
      <c r="G279" s="385"/>
      <c r="H279" s="385"/>
      <c r="I279" s="385"/>
      <c r="J279" s="385"/>
      <c r="K279" s="385"/>
      <c r="L279" s="385"/>
      <c r="M279" s="385"/>
      <c r="N279" s="385"/>
      <c r="O279" s="385"/>
      <c r="P279" s="385"/>
      <c r="Q279" s="385"/>
    </row>
    <row r="280" spans="2:18" x14ac:dyDescent="0.25">
      <c r="B280" s="389"/>
      <c r="C280" s="384"/>
      <c r="D280" s="776"/>
      <c r="G280" s="385"/>
      <c r="H280" s="385"/>
      <c r="I280" s="385"/>
      <c r="J280" s="385"/>
      <c r="K280" s="385"/>
      <c r="L280" s="385"/>
      <c r="M280" s="385"/>
      <c r="N280" s="385"/>
      <c r="O280" s="385"/>
      <c r="P280" s="385"/>
      <c r="Q280" s="385"/>
    </row>
    <row r="281" spans="2:18" x14ac:dyDescent="0.25">
      <c r="C281" s="384"/>
      <c r="D281" s="776"/>
      <c r="G281" s="385"/>
      <c r="H281" s="385"/>
      <c r="I281" s="385"/>
      <c r="J281" s="385"/>
      <c r="K281" s="385"/>
      <c r="L281" s="385"/>
      <c r="M281" s="385"/>
      <c r="N281" s="385"/>
      <c r="O281" s="385"/>
      <c r="P281" s="385"/>
      <c r="Q281" s="385"/>
    </row>
    <row r="282" spans="2:18" x14ac:dyDescent="0.25">
      <c r="B282" s="388"/>
      <c r="C282" s="390"/>
      <c r="D282" s="777"/>
      <c r="G282" s="385"/>
      <c r="H282" s="385"/>
      <c r="I282" s="385"/>
      <c r="J282" s="385"/>
      <c r="K282" s="385"/>
      <c r="L282" s="385"/>
      <c r="M282" s="385"/>
      <c r="N282" s="385"/>
      <c r="O282" s="385"/>
      <c r="P282" s="385"/>
      <c r="Q282" s="385"/>
    </row>
    <row r="283" spans="2:18" x14ac:dyDescent="0.25">
      <c r="B283" s="389"/>
      <c r="C283" s="384"/>
      <c r="D283" s="776"/>
      <c r="G283" s="385"/>
      <c r="H283" s="385"/>
      <c r="I283" s="385"/>
      <c r="J283" s="385"/>
      <c r="K283" s="385"/>
      <c r="L283" s="385"/>
      <c r="M283" s="385"/>
      <c r="N283" s="385"/>
      <c r="O283" s="385"/>
      <c r="P283" s="385"/>
      <c r="Q283" s="385"/>
    </row>
    <row r="284" spans="2:18" x14ac:dyDescent="0.25">
      <c r="B284" s="389"/>
      <c r="C284" s="384"/>
      <c r="D284" s="776"/>
      <c r="G284" s="385"/>
      <c r="H284" s="385"/>
      <c r="I284" s="385"/>
      <c r="J284" s="385"/>
      <c r="K284" s="385"/>
      <c r="L284" s="385"/>
      <c r="M284" s="385"/>
      <c r="N284" s="385"/>
      <c r="O284" s="385"/>
      <c r="P284" s="385"/>
      <c r="Q284" s="385"/>
    </row>
    <row r="285" spans="2:18" x14ac:dyDescent="0.25">
      <c r="C285" s="390"/>
      <c r="D285" s="777"/>
      <c r="G285" s="385"/>
      <c r="H285" s="385"/>
      <c r="I285" s="385"/>
      <c r="J285" s="385"/>
      <c r="K285" s="385"/>
      <c r="L285" s="385"/>
      <c r="M285" s="385"/>
      <c r="N285" s="385"/>
      <c r="O285" s="385"/>
      <c r="P285" s="385"/>
      <c r="Q285" s="385"/>
    </row>
    <row r="286" spans="2:18" x14ac:dyDescent="0.25">
      <c r="G286" s="385"/>
      <c r="H286" s="385"/>
      <c r="I286" s="385"/>
      <c r="J286" s="385"/>
      <c r="K286" s="385"/>
      <c r="L286" s="385"/>
      <c r="M286" s="385"/>
      <c r="N286" s="385"/>
      <c r="O286" s="385"/>
      <c r="P286" s="385"/>
      <c r="Q286" s="385"/>
    </row>
    <row r="287" spans="2:18" x14ac:dyDescent="0.25">
      <c r="O287" s="391"/>
      <c r="P287" s="391"/>
      <c r="Q287" s="391"/>
      <c r="R287" s="392"/>
    </row>
    <row r="288" spans="2:18" x14ac:dyDescent="0.25">
      <c r="O288" s="391"/>
      <c r="P288" s="391"/>
      <c r="Q288" s="391"/>
      <c r="R288" s="392"/>
    </row>
    <row r="289" spans="15:18" x14ac:dyDescent="0.25">
      <c r="O289" s="391"/>
      <c r="P289" s="391"/>
      <c r="Q289" s="391"/>
      <c r="R289" s="392"/>
    </row>
    <row r="290" spans="15:18" x14ac:dyDescent="0.25">
      <c r="O290" s="391"/>
      <c r="P290" s="391"/>
      <c r="Q290" s="391"/>
      <c r="R290" s="392"/>
    </row>
    <row r="291" spans="15:18" x14ac:dyDescent="0.25">
      <c r="O291" s="391"/>
      <c r="P291" s="391"/>
      <c r="Q291" s="391"/>
      <c r="R291" s="392"/>
    </row>
    <row r="292" spans="15:18" x14ac:dyDescent="0.25">
      <c r="O292" s="391"/>
      <c r="P292" s="391"/>
      <c r="Q292" s="391"/>
    </row>
  </sheetData>
  <protectedRanges>
    <protectedRange sqref="L21:M28" name="Range1_1"/>
  </protectedRanges>
  <mergeCells count="12">
    <mergeCell ref="A21:E21"/>
    <mergeCell ref="G21:H21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C000"/>
    <pageSetUpPr fitToPage="1"/>
  </sheetPr>
  <dimension ref="B1:K37"/>
  <sheetViews>
    <sheetView view="pageBreakPreview" zoomScale="80" zoomScaleNormal="100" zoomScaleSheetLayoutView="80" workbookViewId="0">
      <selection activeCell="C14" sqref="C14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13.9" x14ac:dyDescent="0.3">
      <c r="B2" s="396" t="str">
        <f>'06-DO'!B2</f>
        <v>PROIECT : Extindere infrastructură educațională – Centrul Școlar pentru Educație înclusivă „Constantin Pufan”</v>
      </c>
      <c r="C2" s="411"/>
      <c r="D2" s="36"/>
      <c r="E2" s="36"/>
      <c r="F2" s="36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DG!C66</f>
        <v>OBIECT 7 - Dotari specifice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84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 t="e">
        <f>#REF!</f>
        <v>#REF!</v>
      </c>
      <c r="E22" s="430" t="e">
        <f t="shared" si="2"/>
        <v>#REF!</v>
      </c>
      <c r="F22" s="834" t="e">
        <f t="shared" si="3"/>
        <v>#REF!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f>'07-LU'!F16</f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f>'07-LD'!F22</f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</row>
    <row r="32" spans="2:9" ht="13.9" x14ac:dyDescent="0.3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 t="s">
        <v>1448</v>
      </c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8">
    <mergeCell ref="B30:C30"/>
    <mergeCell ref="B31:C31"/>
    <mergeCell ref="B4:F5"/>
    <mergeCell ref="B8:B9"/>
    <mergeCell ref="C8:C9"/>
    <mergeCell ref="B11:F11"/>
    <mergeCell ref="B23:C23"/>
    <mergeCell ref="B25:C25"/>
  </mergeCells>
  <pageMargins left="0.7" right="0.7" top="0.75" bottom="0.75" header="0.3" footer="0.3"/>
  <pageSetup paperSize="9" scale="84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FF00"/>
    <pageSetUpPr fitToPage="1"/>
  </sheetPr>
  <dimension ref="A1:R287"/>
  <sheetViews>
    <sheetView view="pageBreakPreview" zoomScale="80" zoomScaleNormal="70" zoomScaleSheetLayoutView="80" workbookViewId="0">
      <selection activeCell="A16" sqref="A16:E16"/>
    </sheetView>
  </sheetViews>
  <sheetFormatPr defaultColWidth="10.7109375" defaultRowHeight="12.75" x14ac:dyDescent="0.25"/>
  <cols>
    <col min="1" max="1" width="7.85546875" style="360" customWidth="1"/>
    <col min="2" max="2" width="38" style="373" customWidth="1"/>
    <col min="3" max="3" width="8.42578125" style="374" customWidth="1"/>
    <col min="4" max="4" width="8.42578125" style="774" customWidth="1"/>
    <col min="5" max="5" width="15.7109375" style="375" customWidth="1"/>
    <col min="6" max="6" width="17.85546875" style="375" customWidth="1"/>
    <col min="7" max="7" width="31.85546875" style="360" hidden="1" customWidth="1"/>
    <col min="8" max="8" width="33.28515625" style="360" customWidth="1"/>
    <col min="9" max="9" width="33.28515625" style="360" hidden="1" customWidth="1"/>
    <col min="10" max="10" width="11.28515625" style="360" customWidth="1"/>
    <col min="11" max="257" width="10.7109375" style="360"/>
    <col min="258" max="258" width="13.140625" style="360" customWidth="1"/>
    <col min="259" max="259" width="38" style="360" customWidth="1"/>
    <col min="260" max="260" width="8.42578125" style="360" customWidth="1"/>
    <col min="261" max="261" width="15.7109375" style="360" customWidth="1"/>
    <col min="262" max="262" width="18.28515625" style="360" customWidth="1"/>
    <col min="263" max="263" width="17.85546875" style="360" customWidth="1"/>
    <col min="264" max="264" width="0" style="360" hidden="1" customWidth="1"/>
    <col min="265" max="265" width="33.28515625" style="360" customWidth="1"/>
    <col min="266" max="513" width="10.7109375" style="360"/>
    <col min="514" max="514" width="13.140625" style="360" customWidth="1"/>
    <col min="515" max="515" width="38" style="360" customWidth="1"/>
    <col min="516" max="516" width="8.42578125" style="360" customWidth="1"/>
    <col min="517" max="517" width="15.7109375" style="360" customWidth="1"/>
    <col min="518" max="518" width="18.28515625" style="360" customWidth="1"/>
    <col min="519" max="519" width="17.85546875" style="360" customWidth="1"/>
    <col min="520" max="520" width="0" style="360" hidden="1" customWidth="1"/>
    <col min="521" max="521" width="33.28515625" style="360" customWidth="1"/>
    <col min="522" max="769" width="10.7109375" style="360"/>
    <col min="770" max="770" width="13.140625" style="360" customWidth="1"/>
    <col min="771" max="771" width="38" style="360" customWidth="1"/>
    <col min="772" max="772" width="8.42578125" style="360" customWidth="1"/>
    <col min="773" max="773" width="15.7109375" style="360" customWidth="1"/>
    <col min="774" max="774" width="18.28515625" style="360" customWidth="1"/>
    <col min="775" max="775" width="17.85546875" style="360" customWidth="1"/>
    <col min="776" max="776" width="0" style="360" hidden="1" customWidth="1"/>
    <col min="777" max="777" width="33.28515625" style="360" customWidth="1"/>
    <col min="778" max="1025" width="10.7109375" style="360"/>
    <col min="1026" max="1026" width="13.140625" style="360" customWidth="1"/>
    <col min="1027" max="1027" width="38" style="360" customWidth="1"/>
    <col min="1028" max="1028" width="8.42578125" style="360" customWidth="1"/>
    <col min="1029" max="1029" width="15.7109375" style="360" customWidth="1"/>
    <col min="1030" max="1030" width="18.28515625" style="360" customWidth="1"/>
    <col min="1031" max="1031" width="17.85546875" style="360" customWidth="1"/>
    <col min="1032" max="1032" width="0" style="360" hidden="1" customWidth="1"/>
    <col min="1033" max="1033" width="33.28515625" style="360" customWidth="1"/>
    <col min="1034" max="1281" width="10.7109375" style="360"/>
    <col min="1282" max="1282" width="13.140625" style="360" customWidth="1"/>
    <col min="1283" max="1283" width="38" style="360" customWidth="1"/>
    <col min="1284" max="1284" width="8.42578125" style="360" customWidth="1"/>
    <col min="1285" max="1285" width="15.7109375" style="360" customWidth="1"/>
    <col min="1286" max="1286" width="18.28515625" style="360" customWidth="1"/>
    <col min="1287" max="1287" width="17.85546875" style="360" customWidth="1"/>
    <col min="1288" max="1288" width="0" style="360" hidden="1" customWidth="1"/>
    <col min="1289" max="1289" width="33.28515625" style="360" customWidth="1"/>
    <col min="1290" max="1537" width="10.7109375" style="360"/>
    <col min="1538" max="1538" width="13.140625" style="360" customWidth="1"/>
    <col min="1539" max="1539" width="38" style="360" customWidth="1"/>
    <col min="1540" max="1540" width="8.42578125" style="360" customWidth="1"/>
    <col min="1541" max="1541" width="15.7109375" style="360" customWidth="1"/>
    <col min="1542" max="1542" width="18.28515625" style="360" customWidth="1"/>
    <col min="1543" max="1543" width="17.85546875" style="360" customWidth="1"/>
    <col min="1544" max="1544" width="0" style="360" hidden="1" customWidth="1"/>
    <col min="1545" max="1545" width="33.28515625" style="360" customWidth="1"/>
    <col min="1546" max="1793" width="10.7109375" style="360"/>
    <col min="1794" max="1794" width="13.140625" style="360" customWidth="1"/>
    <col min="1795" max="1795" width="38" style="360" customWidth="1"/>
    <col min="1796" max="1796" width="8.42578125" style="360" customWidth="1"/>
    <col min="1797" max="1797" width="15.7109375" style="360" customWidth="1"/>
    <col min="1798" max="1798" width="18.28515625" style="360" customWidth="1"/>
    <col min="1799" max="1799" width="17.85546875" style="360" customWidth="1"/>
    <col min="1800" max="1800" width="0" style="360" hidden="1" customWidth="1"/>
    <col min="1801" max="1801" width="33.28515625" style="360" customWidth="1"/>
    <col min="1802" max="2049" width="10.7109375" style="360"/>
    <col min="2050" max="2050" width="13.140625" style="360" customWidth="1"/>
    <col min="2051" max="2051" width="38" style="360" customWidth="1"/>
    <col min="2052" max="2052" width="8.42578125" style="360" customWidth="1"/>
    <col min="2053" max="2053" width="15.7109375" style="360" customWidth="1"/>
    <col min="2054" max="2054" width="18.28515625" style="360" customWidth="1"/>
    <col min="2055" max="2055" width="17.85546875" style="360" customWidth="1"/>
    <col min="2056" max="2056" width="0" style="360" hidden="1" customWidth="1"/>
    <col min="2057" max="2057" width="33.28515625" style="360" customWidth="1"/>
    <col min="2058" max="2305" width="10.7109375" style="360"/>
    <col min="2306" max="2306" width="13.140625" style="360" customWidth="1"/>
    <col min="2307" max="2307" width="38" style="360" customWidth="1"/>
    <col min="2308" max="2308" width="8.42578125" style="360" customWidth="1"/>
    <col min="2309" max="2309" width="15.7109375" style="360" customWidth="1"/>
    <col min="2310" max="2310" width="18.28515625" style="360" customWidth="1"/>
    <col min="2311" max="2311" width="17.85546875" style="360" customWidth="1"/>
    <col min="2312" max="2312" width="0" style="360" hidden="1" customWidth="1"/>
    <col min="2313" max="2313" width="33.28515625" style="360" customWidth="1"/>
    <col min="2314" max="2561" width="10.7109375" style="360"/>
    <col min="2562" max="2562" width="13.140625" style="360" customWidth="1"/>
    <col min="2563" max="2563" width="38" style="360" customWidth="1"/>
    <col min="2564" max="2564" width="8.42578125" style="360" customWidth="1"/>
    <col min="2565" max="2565" width="15.7109375" style="360" customWidth="1"/>
    <col min="2566" max="2566" width="18.28515625" style="360" customWidth="1"/>
    <col min="2567" max="2567" width="17.85546875" style="360" customWidth="1"/>
    <col min="2568" max="2568" width="0" style="360" hidden="1" customWidth="1"/>
    <col min="2569" max="2569" width="33.28515625" style="360" customWidth="1"/>
    <col min="2570" max="2817" width="10.7109375" style="360"/>
    <col min="2818" max="2818" width="13.140625" style="360" customWidth="1"/>
    <col min="2819" max="2819" width="38" style="360" customWidth="1"/>
    <col min="2820" max="2820" width="8.42578125" style="360" customWidth="1"/>
    <col min="2821" max="2821" width="15.7109375" style="360" customWidth="1"/>
    <col min="2822" max="2822" width="18.28515625" style="360" customWidth="1"/>
    <col min="2823" max="2823" width="17.85546875" style="360" customWidth="1"/>
    <col min="2824" max="2824" width="0" style="360" hidden="1" customWidth="1"/>
    <col min="2825" max="2825" width="33.28515625" style="360" customWidth="1"/>
    <col min="2826" max="3073" width="10.7109375" style="360"/>
    <col min="3074" max="3074" width="13.140625" style="360" customWidth="1"/>
    <col min="3075" max="3075" width="38" style="360" customWidth="1"/>
    <col min="3076" max="3076" width="8.42578125" style="360" customWidth="1"/>
    <col min="3077" max="3077" width="15.7109375" style="360" customWidth="1"/>
    <col min="3078" max="3078" width="18.28515625" style="360" customWidth="1"/>
    <col min="3079" max="3079" width="17.85546875" style="360" customWidth="1"/>
    <col min="3080" max="3080" width="0" style="360" hidden="1" customWidth="1"/>
    <col min="3081" max="3081" width="33.28515625" style="360" customWidth="1"/>
    <col min="3082" max="3329" width="10.7109375" style="360"/>
    <col min="3330" max="3330" width="13.140625" style="360" customWidth="1"/>
    <col min="3331" max="3331" width="38" style="360" customWidth="1"/>
    <col min="3332" max="3332" width="8.42578125" style="360" customWidth="1"/>
    <col min="3333" max="3333" width="15.7109375" style="360" customWidth="1"/>
    <col min="3334" max="3334" width="18.28515625" style="360" customWidth="1"/>
    <col min="3335" max="3335" width="17.85546875" style="360" customWidth="1"/>
    <col min="3336" max="3336" width="0" style="360" hidden="1" customWidth="1"/>
    <col min="3337" max="3337" width="33.28515625" style="360" customWidth="1"/>
    <col min="3338" max="3585" width="10.7109375" style="360"/>
    <col min="3586" max="3586" width="13.140625" style="360" customWidth="1"/>
    <col min="3587" max="3587" width="38" style="360" customWidth="1"/>
    <col min="3588" max="3588" width="8.42578125" style="360" customWidth="1"/>
    <col min="3589" max="3589" width="15.7109375" style="360" customWidth="1"/>
    <col min="3590" max="3590" width="18.28515625" style="360" customWidth="1"/>
    <col min="3591" max="3591" width="17.85546875" style="360" customWidth="1"/>
    <col min="3592" max="3592" width="0" style="360" hidden="1" customWidth="1"/>
    <col min="3593" max="3593" width="33.28515625" style="360" customWidth="1"/>
    <col min="3594" max="3841" width="10.7109375" style="360"/>
    <col min="3842" max="3842" width="13.140625" style="360" customWidth="1"/>
    <col min="3843" max="3843" width="38" style="360" customWidth="1"/>
    <col min="3844" max="3844" width="8.42578125" style="360" customWidth="1"/>
    <col min="3845" max="3845" width="15.7109375" style="360" customWidth="1"/>
    <col min="3846" max="3846" width="18.28515625" style="360" customWidth="1"/>
    <col min="3847" max="3847" width="17.85546875" style="360" customWidth="1"/>
    <col min="3848" max="3848" width="0" style="360" hidden="1" customWidth="1"/>
    <col min="3849" max="3849" width="33.28515625" style="360" customWidth="1"/>
    <col min="3850" max="4097" width="10.7109375" style="360"/>
    <col min="4098" max="4098" width="13.140625" style="360" customWidth="1"/>
    <col min="4099" max="4099" width="38" style="360" customWidth="1"/>
    <col min="4100" max="4100" width="8.42578125" style="360" customWidth="1"/>
    <col min="4101" max="4101" width="15.7109375" style="360" customWidth="1"/>
    <col min="4102" max="4102" width="18.28515625" style="360" customWidth="1"/>
    <col min="4103" max="4103" width="17.85546875" style="360" customWidth="1"/>
    <col min="4104" max="4104" width="0" style="360" hidden="1" customWidth="1"/>
    <col min="4105" max="4105" width="33.28515625" style="360" customWidth="1"/>
    <col min="4106" max="4353" width="10.7109375" style="360"/>
    <col min="4354" max="4354" width="13.140625" style="360" customWidth="1"/>
    <col min="4355" max="4355" width="38" style="360" customWidth="1"/>
    <col min="4356" max="4356" width="8.42578125" style="360" customWidth="1"/>
    <col min="4357" max="4357" width="15.7109375" style="360" customWidth="1"/>
    <col min="4358" max="4358" width="18.28515625" style="360" customWidth="1"/>
    <col min="4359" max="4359" width="17.85546875" style="360" customWidth="1"/>
    <col min="4360" max="4360" width="0" style="360" hidden="1" customWidth="1"/>
    <col min="4361" max="4361" width="33.28515625" style="360" customWidth="1"/>
    <col min="4362" max="4609" width="10.7109375" style="360"/>
    <col min="4610" max="4610" width="13.140625" style="360" customWidth="1"/>
    <col min="4611" max="4611" width="38" style="360" customWidth="1"/>
    <col min="4612" max="4612" width="8.42578125" style="360" customWidth="1"/>
    <col min="4613" max="4613" width="15.7109375" style="360" customWidth="1"/>
    <col min="4614" max="4614" width="18.28515625" style="360" customWidth="1"/>
    <col min="4615" max="4615" width="17.85546875" style="360" customWidth="1"/>
    <col min="4616" max="4616" width="0" style="360" hidden="1" customWidth="1"/>
    <col min="4617" max="4617" width="33.28515625" style="360" customWidth="1"/>
    <col min="4618" max="4865" width="10.7109375" style="360"/>
    <col min="4866" max="4866" width="13.140625" style="360" customWidth="1"/>
    <col min="4867" max="4867" width="38" style="360" customWidth="1"/>
    <col min="4868" max="4868" width="8.42578125" style="360" customWidth="1"/>
    <col min="4869" max="4869" width="15.7109375" style="360" customWidth="1"/>
    <col min="4870" max="4870" width="18.28515625" style="360" customWidth="1"/>
    <col min="4871" max="4871" width="17.85546875" style="360" customWidth="1"/>
    <col min="4872" max="4872" width="0" style="360" hidden="1" customWidth="1"/>
    <col min="4873" max="4873" width="33.28515625" style="360" customWidth="1"/>
    <col min="4874" max="5121" width="10.7109375" style="360"/>
    <col min="5122" max="5122" width="13.140625" style="360" customWidth="1"/>
    <col min="5123" max="5123" width="38" style="360" customWidth="1"/>
    <col min="5124" max="5124" width="8.42578125" style="360" customWidth="1"/>
    <col min="5125" max="5125" width="15.7109375" style="360" customWidth="1"/>
    <col min="5126" max="5126" width="18.28515625" style="360" customWidth="1"/>
    <col min="5127" max="5127" width="17.85546875" style="360" customWidth="1"/>
    <col min="5128" max="5128" width="0" style="360" hidden="1" customWidth="1"/>
    <col min="5129" max="5129" width="33.28515625" style="360" customWidth="1"/>
    <col min="5130" max="5377" width="10.7109375" style="360"/>
    <col min="5378" max="5378" width="13.140625" style="360" customWidth="1"/>
    <col min="5379" max="5379" width="38" style="360" customWidth="1"/>
    <col min="5380" max="5380" width="8.42578125" style="360" customWidth="1"/>
    <col min="5381" max="5381" width="15.7109375" style="360" customWidth="1"/>
    <col min="5382" max="5382" width="18.28515625" style="360" customWidth="1"/>
    <col min="5383" max="5383" width="17.85546875" style="360" customWidth="1"/>
    <col min="5384" max="5384" width="0" style="360" hidden="1" customWidth="1"/>
    <col min="5385" max="5385" width="33.28515625" style="360" customWidth="1"/>
    <col min="5386" max="5633" width="10.7109375" style="360"/>
    <col min="5634" max="5634" width="13.140625" style="360" customWidth="1"/>
    <col min="5635" max="5635" width="38" style="360" customWidth="1"/>
    <col min="5636" max="5636" width="8.42578125" style="360" customWidth="1"/>
    <col min="5637" max="5637" width="15.7109375" style="360" customWidth="1"/>
    <col min="5638" max="5638" width="18.28515625" style="360" customWidth="1"/>
    <col min="5639" max="5639" width="17.85546875" style="360" customWidth="1"/>
    <col min="5640" max="5640" width="0" style="360" hidden="1" customWidth="1"/>
    <col min="5641" max="5641" width="33.28515625" style="360" customWidth="1"/>
    <col min="5642" max="5889" width="10.7109375" style="360"/>
    <col min="5890" max="5890" width="13.140625" style="360" customWidth="1"/>
    <col min="5891" max="5891" width="38" style="360" customWidth="1"/>
    <col min="5892" max="5892" width="8.42578125" style="360" customWidth="1"/>
    <col min="5893" max="5893" width="15.7109375" style="360" customWidth="1"/>
    <col min="5894" max="5894" width="18.28515625" style="360" customWidth="1"/>
    <col min="5895" max="5895" width="17.85546875" style="360" customWidth="1"/>
    <col min="5896" max="5896" width="0" style="360" hidden="1" customWidth="1"/>
    <col min="5897" max="5897" width="33.28515625" style="360" customWidth="1"/>
    <col min="5898" max="6145" width="10.7109375" style="360"/>
    <col min="6146" max="6146" width="13.140625" style="360" customWidth="1"/>
    <col min="6147" max="6147" width="38" style="360" customWidth="1"/>
    <col min="6148" max="6148" width="8.42578125" style="360" customWidth="1"/>
    <col min="6149" max="6149" width="15.7109375" style="360" customWidth="1"/>
    <col min="6150" max="6150" width="18.28515625" style="360" customWidth="1"/>
    <col min="6151" max="6151" width="17.85546875" style="360" customWidth="1"/>
    <col min="6152" max="6152" width="0" style="360" hidden="1" customWidth="1"/>
    <col min="6153" max="6153" width="33.28515625" style="360" customWidth="1"/>
    <col min="6154" max="6401" width="10.7109375" style="360"/>
    <col min="6402" max="6402" width="13.140625" style="360" customWidth="1"/>
    <col min="6403" max="6403" width="38" style="360" customWidth="1"/>
    <col min="6404" max="6404" width="8.42578125" style="360" customWidth="1"/>
    <col min="6405" max="6405" width="15.7109375" style="360" customWidth="1"/>
    <col min="6406" max="6406" width="18.28515625" style="360" customWidth="1"/>
    <col min="6407" max="6407" width="17.85546875" style="360" customWidth="1"/>
    <col min="6408" max="6408" width="0" style="360" hidden="1" customWidth="1"/>
    <col min="6409" max="6409" width="33.28515625" style="360" customWidth="1"/>
    <col min="6410" max="6657" width="10.7109375" style="360"/>
    <col min="6658" max="6658" width="13.140625" style="360" customWidth="1"/>
    <col min="6659" max="6659" width="38" style="360" customWidth="1"/>
    <col min="6660" max="6660" width="8.42578125" style="360" customWidth="1"/>
    <col min="6661" max="6661" width="15.7109375" style="360" customWidth="1"/>
    <col min="6662" max="6662" width="18.28515625" style="360" customWidth="1"/>
    <col min="6663" max="6663" width="17.85546875" style="360" customWidth="1"/>
    <col min="6664" max="6664" width="0" style="360" hidden="1" customWidth="1"/>
    <col min="6665" max="6665" width="33.28515625" style="360" customWidth="1"/>
    <col min="6666" max="6913" width="10.7109375" style="360"/>
    <col min="6914" max="6914" width="13.140625" style="360" customWidth="1"/>
    <col min="6915" max="6915" width="38" style="360" customWidth="1"/>
    <col min="6916" max="6916" width="8.42578125" style="360" customWidth="1"/>
    <col min="6917" max="6917" width="15.7109375" style="360" customWidth="1"/>
    <col min="6918" max="6918" width="18.28515625" style="360" customWidth="1"/>
    <col min="6919" max="6919" width="17.85546875" style="360" customWidth="1"/>
    <col min="6920" max="6920" width="0" style="360" hidden="1" customWidth="1"/>
    <col min="6921" max="6921" width="33.28515625" style="360" customWidth="1"/>
    <col min="6922" max="7169" width="10.7109375" style="360"/>
    <col min="7170" max="7170" width="13.140625" style="360" customWidth="1"/>
    <col min="7171" max="7171" width="38" style="360" customWidth="1"/>
    <col min="7172" max="7172" width="8.42578125" style="360" customWidth="1"/>
    <col min="7173" max="7173" width="15.7109375" style="360" customWidth="1"/>
    <col min="7174" max="7174" width="18.28515625" style="360" customWidth="1"/>
    <col min="7175" max="7175" width="17.85546875" style="360" customWidth="1"/>
    <col min="7176" max="7176" width="0" style="360" hidden="1" customWidth="1"/>
    <col min="7177" max="7177" width="33.28515625" style="360" customWidth="1"/>
    <col min="7178" max="7425" width="10.7109375" style="360"/>
    <col min="7426" max="7426" width="13.140625" style="360" customWidth="1"/>
    <col min="7427" max="7427" width="38" style="360" customWidth="1"/>
    <col min="7428" max="7428" width="8.42578125" style="360" customWidth="1"/>
    <col min="7429" max="7429" width="15.7109375" style="360" customWidth="1"/>
    <col min="7430" max="7430" width="18.28515625" style="360" customWidth="1"/>
    <col min="7431" max="7431" width="17.85546875" style="360" customWidth="1"/>
    <col min="7432" max="7432" width="0" style="360" hidden="1" customWidth="1"/>
    <col min="7433" max="7433" width="33.28515625" style="360" customWidth="1"/>
    <col min="7434" max="7681" width="10.7109375" style="360"/>
    <col min="7682" max="7682" width="13.140625" style="360" customWidth="1"/>
    <col min="7683" max="7683" width="38" style="360" customWidth="1"/>
    <col min="7684" max="7684" width="8.42578125" style="360" customWidth="1"/>
    <col min="7685" max="7685" width="15.7109375" style="360" customWidth="1"/>
    <col min="7686" max="7686" width="18.28515625" style="360" customWidth="1"/>
    <col min="7687" max="7687" width="17.85546875" style="360" customWidth="1"/>
    <col min="7688" max="7688" width="0" style="360" hidden="1" customWidth="1"/>
    <col min="7689" max="7689" width="33.28515625" style="360" customWidth="1"/>
    <col min="7690" max="7937" width="10.7109375" style="360"/>
    <col min="7938" max="7938" width="13.140625" style="360" customWidth="1"/>
    <col min="7939" max="7939" width="38" style="360" customWidth="1"/>
    <col min="7940" max="7940" width="8.42578125" style="360" customWidth="1"/>
    <col min="7941" max="7941" width="15.7109375" style="360" customWidth="1"/>
    <col min="7942" max="7942" width="18.28515625" style="360" customWidth="1"/>
    <col min="7943" max="7943" width="17.85546875" style="360" customWidth="1"/>
    <col min="7944" max="7944" width="0" style="360" hidden="1" customWidth="1"/>
    <col min="7945" max="7945" width="33.28515625" style="360" customWidth="1"/>
    <col min="7946" max="8193" width="10.7109375" style="360"/>
    <col min="8194" max="8194" width="13.140625" style="360" customWidth="1"/>
    <col min="8195" max="8195" width="38" style="360" customWidth="1"/>
    <col min="8196" max="8196" width="8.42578125" style="360" customWidth="1"/>
    <col min="8197" max="8197" width="15.7109375" style="360" customWidth="1"/>
    <col min="8198" max="8198" width="18.28515625" style="360" customWidth="1"/>
    <col min="8199" max="8199" width="17.85546875" style="360" customWidth="1"/>
    <col min="8200" max="8200" width="0" style="360" hidden="1" customWidth="1"/>
    <col min="8201" max="8201" width="33.28515625" style="360" customWidth="1"/>
    <col min="8202" max="8449" width="10.7109375" style="360"/>
    <col min="8450" max="8450" width="13.140625" style="360" customWidth="1"/>
    <col min="8451" max="8451" width="38" style="360" customWidth="1"/>
    <col min="8452" max="8452" width="8.42578125" style="360" customWidth="1"/>
    <col min="8453" max="8453" width="15.7109375" style="360" customWidth="1"/>
    <col min="8454" max="8454" width="18.28515625" style="360" customWidth="1"/>
    <col min="8455" max="8455" width="17.85546875" style="360" customWidth="1"/>
    <col min="8456" max="8456" width="0" style="360" hidden="1" customWidth="1"/>
    <col min="8457" max="8457" width="33.28515625" style="360" customWidth="1"/>
    <col min="8458" max="8705" width="10.7109375" style="360"/>
    <col min="8706" max="8706" width="13.140625" style="360" customWidth="1"/>
    <col min="8707" max="8707" width="38" style="360" customWidth="1"/>
    <col min="8708" max="8708" width="8.42578125" style="360" customWidth="1"/>
    <col min="8709" max="8709" width="15.7109375" style="360" customWidth="1"/>
    <col min="8710" max="8710" width="18.28515625" style="360" customWidth="1"/>
    <col min="8711" max="8711" width="17.85546875" style="360" customWidth="1"/>
    <col min="8712" max="8712" width="0" style="360" hidden="1" customWidth="1"/>
    <col min="8713" max="8713" width="33.28515625" style="360" customWidth="1"/>
    <col min="8714" max="8961" width="10.7109375" style="360"/>
    <col min="8962" max="8962" width="13.140625" style="360" customWidth="1"/>
    <col min="8963" max="8963" width="38" style="360" customWidth="1"/>
    <col min="8964" max="8964" width="8.42578125" style="360" customWidth="1"/>
    <col min="8965" max="8965" width="15.7109375" style="360" customWidth="1"/>
    <col min="8966" max="8966" width="18.28515625" style="360" customWidth="1"/>
    <col min="8967" max="8967" width="17.85546875" style="360" customWidth="1"/>
    <col min="8968" max="8968" width="0" style="360" hidden="1" customWidth="1"/>
    <col min="8969" max="8969" width="33.28515625" style="360" customWidth="1"/>
    <col min="8970" max="9217" width="10.7109375" style="360"/>
    <col min="9218" max="9218" width="13.140625" style="360" customWidth="1"/>
    <col min="9219" max="9219" width="38" style="360" customWidth="1"/>
    <col min="9220" max="9220" width="8.42578125" style="360" customWidth="1"/>
    <col min="9221" max="9221" width="15.7109375" style="360" customWidth="1"/>
    <col min="9222" max="9222" width="18.28515625" style="360" customWidth="1"/>
    <col min="9223" max="9223" width="17.85546875" style="360" customWidth="1"/>
    <col min="9224" max="9224" width="0" style="360" hidden="1" customWidth="1"/>
    <col min="9225" max="9225" width="33.28515625" style="360" customWidth="1"/>
    <col min="9226" max="9473" width="10.7109375" style="360"/>
    <col min="9474" max="9474" width="13.140625" style="360" customWidth="1"/>
    <col min="9475" max="9475" width="38" style="360" customWidth="1"/>
    <col min="9476" max="9476" width="8.42578125" style="360" customWidth="1"/>
    <col min="9477" max="9477" width="15.7109375" style="360" customWidth="1"/>
    <col min="9478" max="9478" width="18.28515625" style="360" customWidth="1"/>
    <col min="9479" max="9479" width="17.85546875" style="360" customWidth="1"/>
    <col min="9480" max="9480" width="0" style="360" hidden="1" customWidth="1"/>
    <col min="9481" max="9481" width="33.28515625" style="360" customWidth="1"/>
    <col min="9482" max="9729" width="10.7109375" style="360"/>
    <col min="9730" max="9730" width="13.140625" style="360" customWidth="1"/>
    <col min="9731" max="9731" width="38" style="360" customWidth="1"/>
    <col min="9732" max="9732" width="8.42578125" style="360" customWidth="1"/>
    <col min="9733" max="9733" width="15.7109375" style="360" customWidth="1"/>
    <col min="9734" max="9734" width="18.28515625" style="360" customWidth="1"/>
    <col min="9735" max="9735" width="17.85546875" style="360" customWidth="1"/>
    <col min="9736" max="9736" width="0" style="360" hidden="1" customWidth="1"/>
    <col min="9737" max="9737" width="33.28515625" style="360" customWidth="1"/>
    <col min="9738" max="9985" width="10.7109375" style="360"/>
    <col min="9986" max="9986" width="13.140625" style="360" customWidth="1"/>
    <col min="9987" max="9987" width="38" style="360" customWidth="1"/>
    <col min="9988" max="9988" width="8.42578125" style="360" customWidth="1"/>
    <col min="9989" max="9989" width="15.7109375" style="360" customWidth="1"/>
    <col min="9990" max="9990" width="18.28515625" style="360" customWidth="1"/>
    <col min="9991" max="9991" width="17.85546875" style="360" customWidth="1"/>
    <col min="9992" max="9992" width="0" style="360" hidden="1" customWidth="1"/>
    <col min="9993" max="9993" width="33.28515625" style="360" customWidth="1"/>
    <col min="9994" max="10241" width="10.7109375" style="360"/>
    <col min="10242" max="10242" width="13.140625" style="360" customWidth="1"/>
    <col min="10243" max="10243" width="38" style="360" customWidth="1"/>
    <col min="10244" max="10244" width="8.42578125" style="360" customWidth="1"/>
    <col min="10245" max="10245" width="15.7109375" style="360" customWidth="1"/>
    <col min="10246" max="10246" width="18.28515625" style="360" customWidth="1"/>
    <col min="10247" max="10247" width="17.85546875" style="360" customWidth="1"/>
    <col min="10248" max="10248" width="0" style="360" hidden="1" customWidth="1"/>
    <col min="10249" max="10249" width="33.28515625" style="360" customWidth="1"/>
    <col min="10250" max="10497" width="10.7109375" style="360"/>
    <col min="10498" max="10498" width="13.140625" style="360" customWidth="1"/>
    <col min="10499" max="10499" width="38" style="360" customWidth="1"/>
    <col min="10500" max="10500" width="8.42578125" style="360" customWidth="1"/>
    <col min="10501" max="10501" width="15.7109375" style="360" customWidth="1"/>
    <col min="10502" max="10502" width="18.28515625" style="360" customWidth="1"/>
    <col min="10503" max="10503" width="17.85546875" style="360" customWidth="1"/>
    <col min="10504" max="10504" width="0" style="360" hidden="1" customWidth="1"/>
    <col min="10505" max="10505" width="33.28515625" style="360" customWidth="1"/>
    <col min="10506" max="10753" width="10.7109375" style="360"/>
    <col min="10754" max="10754" width="13.140625" style="360" customWidth="1"/>
    <col min="10755" max="10755" width="38" style="360" customWidth="1"/>
    <col min="10756" max="10756" width="8.42578125" style="360" customWidth="1"/>
    <col min="10757" max="10757" width="15.7109375" style="360" customWidth="1"/>
    <col min="10758" max="10758" width="18.28515625" style="360" customWidth="1"/>
    <col min="10759" max="10759" width="17.85546875" style="360" customWidth="1"/>
    <col min="10760" max="10760" width="0" style="360" hidden="1" customWidth="1"/>
    <col min="10761" max="10761" width="33.28515625" style="360" customWidth="1"/>
    <col min="10762" max="11009" width="10.7109375" style="360"/>
    <col min="11010" max="11010" width="13.140625" style="360" customWidth="1"/>
    <col min="11011" max="11011" width="38" style="360" customWidth="1"/>
    <col min="11012" max="11012" width="8.42578125" style="360" customWidth="1"/>
    <col min="11013" max="11013" width="15.7109375" style="360" customWidth="1"/>
    <col min="11014" max="11014" width="18.28515625" style="360" customWidth="1"/>
    <col min="11015" max="11015" width="17.85546875" style="360" customWidth="1"/>
    <col min="11016" max="11016" width="0" style="360" hidden="1" customWidth="1"/>
    <col min="11017" max="11017" width="33.28515625" style="360" customWidth="1"/>
    <col min="11018" max="11265" width="10.7109375" style="360"/>
    <col min="11266" max="11266" width="13.140625" style="360" customWidth="1"/>
    <col min="11267" max="11267" width="38" style="360" customWidth="1"/>
    <col min="11268" max="11268" width="8.42578125" style="360" customWidth="1"/>
    <col min="11269" max="11269" width="15.7109375" style="360" customWidth="1"/>
    <col min="11270" max="11270" width="18.28515625" style="360" customWidth="1"/>
    <col min="11271" max="11271" width="17.85546875" style="360" customWidth="1"/>
    <col min="11272" max="11272" width="0" style="360" hidden="1" customWidth="1"/>
    <col min="11273" max="11273" width="33.28515625" style="360" customWidth="1"/>
    <col min="11274" max="11521" width="10.7109375" style="360"/>
    <col min="11522" max="11522" width="13.140625" style="360" customWidth="1"/>
    <col min="11523" max="11523" width="38" style="360" customWidth="1"/>
    <col min="11524" max="11524" width="8.42578125" style="360" customWidth="1"/>
    <col min="11525" max="11525" width="15.7109375" style="360" customWidth="1"/>
    <col min="11526" max="11526" width="18.28515625" style="360" customWidth="1"/>
    <col min="11527" max="11527" width="17.85546875" style="360" customWidth="1"/>
    <col min="11528" max="11528" width="0" style="360" hidden="1" customWidth="1"/>
    <col min="11529" max="11529" width="33.28515625" style="360" customWidth="1"/>
    <col min="11530" max="11777" width="10.7109375" style="360"/>
    <col min="11778" max="11778" width="13.140625" style="360" customWidth="1"/>
    <col min="11779" max="11779" width="38" style="360" customWidth="1"/>
    <col min="11780" max="11780" width="8.42578125" style="360" customWidth="1"/>
    <col min="11781" max="11781" width="15.7109375" style="360" customWidth="1"/>
    <col min="11782" max="11782" width="18.28515625" style="360" customWidth="1"/>
    <col min="11783" max="11783" width="17.85546875" style="360" customWidth="1"/>
    <col min="11784" max="11784" width="0" style="360" hidden="1" customWidth="1"/>
    <col min="11785" max="11785" width="33.28515625" style="360" customWidth="1"/>
    <col min="11786" max="12033" width="10.7109375" style="360"/>
    <col min="12034" max="12034" width="13.140625" style="360" customWidth="1"/>
    <col min="12035" max="12035" width="38" style="360" customWidth="1"/>
    <col min="12036" max="12036" width="8.42578125" style="360" customWidth="1"/>
    <col min="12037" max="12037" width="15.7109375" style="360" customWidth="1"/>
    <col min="12038" max="12038" width="18.28515625" style="360" customWidth="1"/>
    <col min="12039" max="12039" width="17.85546875" style="360" customWidth="1"/>
    <col min="12040" max="12040" width="0" style="360" hidden="1" customWidth="1"/>
    <col min="12041" max="12041" width="33.28515625" style="360" customWidth="1"/>
    <col min="12042" max="12289" width="10.7109375" style="360"/>
    <col min="12290" max="12290" width="13.140625" style="360" customWidth="1"/>
    <col min="12291" max="12291" width="38" style="360" customWidth="1"/>
    <col min="12292" max="12292" width="8.42578125" style="360" customWidth="1"/>
    <col min="12293" max="12293" width="15.7109375" style="360" customWidth="1"/>
    <col min="12294" max="12294" width="18.28515625" style="360" customWidth="1"/>
    <col min="12295" max="12295" width="17.85546875" style="360" customWidth="1"/>
    <col min="12296" max="12296" width="0" style="360" hidden="1" customWidth="1"/>
    <col min="12297" max="12297" width="33.28515625" style="360" customWidth="1"/>
    <col min="12298" max="12545" width="10.7109375" style="360"/>
    <col min="12546" max="12546" width="13.140625" style="360" customWidth="1"/>
    <col min="12547" max="12547" width="38" style="360" customWidth="1"/>
    <col min="12548" max="12548" width="8.42578125" style="360" customWidth="1"/>
    <col min="12549" max="12549" width="15.7109375" style="360" customWidth="1"/>
    <col min="12550" max="12550" width="18.28515625" style="360" customWidth="1"/>
    <col min="12551" max="12551" width="17.85546875" style="360" customWidth="1"/>
    <col min="12552" max="12552" width="0" style="360" hidden="1" customWidth="1"/>
    <col min="12553" max="12553" width="33.28515625" style="360" customWidth="1"/>
    <col min="12554" max="12801" width="10.7109375" style="360"/>
    <col min="12802" max="12802" width="13.140625" style="360" customWidth="1"/>
    <col min="12803" max="12803" width="38" style="360" customWidth="1"/>
    <col min="12804" max="12804" width="8.42578125" style="360" customWidth="1"/>
    <col min="12805" max="12805" width="15.7109375" style="360" customWidth="1"/>
    <col min="12806" max="12806" width="18.28515625" style="360" customWidth="1"/>
    <col min="12807" max="12807" width="17.85546875" style="360" customWidth="1"/>
    <col min="12808" max="12808" width="0" style="360" hidden="1" customWidth="1"/>
    <col min="12809" max="12809" width="33.28515625" style="360" customWidth="1"/>
    <col min="12810" max="13057" width="10.7109375" style="360"/>
    <col min="13058" max="13058" width="13.140625" style="360" customWidth="1"/>
    <col min="13059" max="13059" width="38" style="360" customWidth="1"/>
    <col min="13060" max="13060" width="8.42578125" style="360" customWidth="1"/>
    <col min="13061" max="13061" width="15.7109375" style="360" customWidth="1"/>
    <col min="13062" max="13062" width="18.28515625" style="360" customWidth="1"/>
    <col min="13063" max="13063" width="17.85546875" style="360" customWidth="1"/>
    <col min="13064" max="13064" width="0" style="360" hidden="1" customWidth="1"/>
    <col min="13065" max="13065" width="33.28515625" style="360" customWidth="1"/>
    <col min="13066" max="13313" width="10.7109375" style="360"/>
    <col min="13314" max="13314" width="13.140625" style="360" customWidth="1"/>
    <col min="13315" max="13315" width="38" style="360" customWidth="1"/>
    <col min="13316" max="13316" width="8.42578125" style="360" customWidth="1"/>
    <col min="13317" max="13317" width="15.7109375" style="360" customWidth="1"/>
    <col min="13318" max="13318" width="18.28515625" style="360" customWidth="1"/>
    <col min="13319" max="13319" width="17.85546875" style="360" customWidth="1"/>
    <col min="13320" max="13320" width="0" style="360" hidden="1" customWidth="1"/>
    <col min="13321" max="13321" width="33.28515625" style="360" customWidth="1"/>
    <col min="13322" max="13569" width="10.7109375" style="360"/>
    <col min="13570" max="13570" width="13.140625" style="360" customWidth="1"/>
    <col min="13571" max="13571" width="38" style="360" customWidth="1"/>
    <col min="13572" max="13572" width="8.42578125" style="360" customWidth="1"/>
    <col min="13573" max="13573" width="15.7109375" style="360" customWidth="1"/>
    <col min="13574" max="13574" width="18.28515625" style="360" customWidth="1"/>
    <col min="13575" max="13575" width="17.85546875" style="360" customWidth="1"/>
    <col min="13576" max="13576" width="0" style="360" hidden="1" customWidth="1"/>
    <col min="13577" max="13577" width="33.28515625" style="360" customWidth="1"/>
    <col min="13578" max="13825" width="10.7109375" style="360"/>
    <col min="13826" max="13826" width="13.140625" style="360" customWidth="1"/>
    <col min="13827" max="13827" width="38" style="360" customWidth="1"/>
    <col min="13828" max="13828" width="8.42578125" style="360" customWidth="1"/>
    <col min="13829" max="13829" width="15.7109375" style="360" customWidth="1"/>
    <col min="13830" max="13830" width="18.28515625" style="360" customWidth="1"/>
    <col min="13831" max="13831" width="17.85546875" style="360" customWidth="1"/>
    <col min="13832" max="13832" width="0" style="360" hidden="1" customWidth="1"/>
    <col min="13833" max="13833" width="33.28515625" style="360" customWidth="1"/>
    <col min="13834" max="14081" width="10.7109375" style="360"/>
    <col min="14082" max="14082" width="13.140625" style="360" customWidth="1"/>
    <col min="14083" max="14083" width="38" style="360" customWidth="1"/>
    <col min="14084" max="14084" width="8.42578125" style="360" customWidth="1"/>
    <col min="14085" max="14085" width="15.7109375" style="360" customWidth="1"/>
    <col min="14086" max="14086" width="18.28515625" style="360" customWidth="1"/>
    <col min="14087" max="14087" width="17.85546875" style="360" customWidth="1"/>
    <col min="14088" max="14088" width="0" style="360" hidden="1" customWidth="1"/>
    <col min="14089" max="14089" width="33.28515625" style="360" customWidth="1"/>
    <col min="14090" max="14337" width="10.7109375" style="360"/>
    <col min="14338" max="14338" width="13.140625" style="360" customWidth="1"/>
    <col min="14339" max="14339" width="38" style="360" customWidth="1"/>
    <col min="14340" max="14340" width="8.42578125" style="360" customWidth="1"/>
    <col min="14341" max="14341" width="15.7109375" style="360" customWidth="1"/>
    <col min="14342" max="14342" width="18.28515625" style="360" customWidth="1"/>
    <col min="14343" max="14343" width="17.85546875" style="360" customWidth="1"/>
    <col min="14344" max="14344" width="0" style="360" hidden="1" customWidth="1"/>
    <col min="14345" max="14345" width="33.28515625" style="360" customWidth="1"/>
    <col min="14346" max="14593" width="10.7109375" style="360"/>
    <col min="14594" max="14594" width="13.140625" style="360" customWidth="1"/>
    <col min="14595" max="14595" width="38" style="360" customWidth="1"/>
    <col min="14596" max="14596" width="8.42578125" style="360" customWidth="1"/>
    <col min="14597" max="14597" width="15.7109375" style="360" customWidth="1"/>
    <col min="14598" max="14598" width="18.28515625" style="360" customWidth="1"/>
    <col min="14599" max="14599" width="17.85546875" style="360" customWidth="1"/>
    <col min="14600" max="14600" width="0" style="360" hidden="1" customWidth="1"/>
    <col min="14601" max="14601" width="33.28515625" style="360" customWidth="1"/>
    <col min="14602" max="14849" width="10.7109375" style="360"/>
    <col min="14850" max="14850" width="13.140625" style="360" customWidth="1"/>
    <col min="14851" max="14851" width="38" style="360" customWidth="1"/>
    <col min="14852" max="14852" width="8.42578125" style="360" customWidth="1"/>
    <col min="14853" max="14853" width="15.7109375" style="360" customWidth="1"/>
    <col min="14854" max="14854" width="18.28515625" style="360" customWidth="1"/>
    <col min="14855" max="14855" width="17.85546875" style="360" customWidth="1"/>
    <col min="14856" max="14856" width="0" style="360" hidden="1" customWidth="1"/>
    <col min="14857" max="14857" width="33.28515625" style="360" customWidth="1"/>
    <col min="14858" max="15105" width="10.7109375" style="360"/>
    <col min="15106" max="15106" width="13.140625" style="360" customWidth="1"/>
    <col min="15107" max="15107" width="38" style="360" customWidth="1"/>
    <col min="15108" max="15108" width="8.42578125" style="360" customWidth="1"/>
    <col min="15109" max="15109" width="15.7109375" style="360" customWidth="1"/>
    <col min="15110" max="15110" width="18.28515625" style="360" customWidth="1"/>
    <col min="15111" max="15111" width="17.85546875" style="360" customWidth="1"/>
    <col min="15112" max="15112" width="0" style="360" hidden="1" customWidth="1"/>
    <col min="15113" max="15113" width="33.28515625" style="360" customWidth="1"/>
    <col min="15114" max="15361" width="10.7109375" style="360"/>
    <col min="15362" max="15362" width="13.140625" style="360" customWidth="1"/>
    <col min="15363" max="15363" width="38" style="360" customWidth="1"/>
    <col min="15364" max="15364" width="8.42578125" style="360" customWidth="1"/>
    <col min="15365" max="15365" width="15.7109375" style="360" customWidth="1"/>
    <col min="15366" max="15366" width="18.28515625" style="360" customWidth="1"/>
    <col min="15367" max="15367" width="17.85546875" style="360" customWidth="1"/>
    <col min="15368" max="15368" width="0" style="360" hidden="1" customWidth="1"/>
    <col min="15369" max="15369" width="33.28515625" style="360" customWidth="1"/>
    <col min="15370" max="15617" width="10.7109375" style="360"/>
    <col min="15618" max="15618" width="13.140625" style="360" customWidth="1"/>
    <col min="15619" max="15619" width="38" style="360" customWidth="1"/>
    <col min="15620" max="15620" width="8.42578125" style="360" customWidth="1"/>
    <col min="15621" max="15621" width="15.7109375" style="360" customWidth="1"/>
    <col min="15622" max="15622" width="18.28515625" style="360" customWidth="1"/>
    <col min="15623" max="15623" width="17.85546875" style="360" customWidth="1"/>
    <col min="15624" max="15624" width="0" style="360" hidden="1" customWidth="1"/>
    <col min="15625" max="15625" width="33.28515625" style="360" customWidth="1"/>
    <col min="15626" max="15873" width="10.7109375" style="360"/>
    <col min="15874" max="15874" width="13.140625" style="360" customWidth="1"/>
    <col min="15875" max="15875" width="38" style="360" customWidth="1"/>
    <col min="15876" max="15876" width="8.42578125" style="360" customWidth="1"/>
    <col min="15877" max="15877" width="15.7109375" style="360" customWidth="1"/>
    <col min="15878" max="15878" width="18.28515625" style="360" customWidth="1"/>
    <col min="15879" max="15879" width="17.85546875" style="360" customWidth="1"/>
    <col min="15880" max="15880" width="0" style="360" hidden="1" customWidth="1"/>
    <col min="15881" max="15881" width="33.28515625" style="360" customWidth="1"/>
    <col min="15882" max="16129" width="10.7109375" style="360"/>
    <col min="16130" max="16130" width="13.140625" style="360" customWidth="1"/>
    <col min="16131" max="16131" width="38" style="360" customWidth="1"/>
    <col min="16132" max="16132" width="8.42578125" style="360" customWidth="1"/>
    <col min="16133" max="16133" width="15.7109375" style="360" customWidth="1"/>
    <col min="16134" max="16134" width="18.28515625" style="360" customWidth="1"/>
    <col min="16135" max="16135" width="17.85546875" style="360" customWidth="1"/>
    <col min="16136" max="16136" width="0" style="360" hidden="1" customWidth="1"/>
    <col min="16137" max="16137" width="33.28515625" style="360" customWidth="1"/>
    <col min="16138" max="16384" width="10.7109375" style="360"/>
  </cols>
  <sheetData>
    <row r="1" spans="1:11" ht="13.9" x14ac:dyDescent="0.3">
      <c r="A1" s="547" t="str">
        <f>'07-DO'!B2</f>
        <v>PROIECT : Extindere infrastructură educațională – Centrul Școlar pentru Educație înclusivă „Constantin Pufan”</v>
      </c>
      <c r="B1" s="356"/>
      <c r="C1" s="357"/>
      <c r="D1" s="767"/>
      <c r="E1" s="358"/>
      <c r="F1" s="358"/>
      <c r="G1" s="359"/>
      <c r="H1" s="359"/>
      <c r="I1" s="359"/>
    </row>
    <row r="2" spans="1:11" ht="13.15" x14ac:dyDescent="0.3">
      <c r="A2" s="361"/>
      <c r="B2" s="356"/>
      <c r="C2" s="357"/>
      <c r="D2" s="767"/>
      <c r="E2" s="358"/>
      <c r="F2" s="358"/>
      <c r="G2" s="359"/>
      <c r="H2" s="359"/>
      <c r="I2" s="359"/>
    </row>
    <row r="3" spans="1:11" ht="13.15" x14ac:dyDescent="0.3">
      <c r="A3" s="359"/>
      <c r="B3" s="362"/>
      <c r="C3" s="357"/>
      <c r="D3" s="767"/>
      <c r="E3" s="358"/>
      <c r="F3" s="358"/>
      <c r="G3" s="359"/>
      <c r="H3" s="359"/>
      <c r="I3" s="359"/>
    </row>
    <row r="4" spans="1:11" ht="13.15" x14ac:dyDescent="0.3">
      <c r="A4" s="1445" t="s">
        <v>1178</v>
      </c>
      <c r="B4" s="1445"/>
      <c r="C4" s="1445"/>
      <c r="D4" s="1445"/>
      <c r="E4" s="1445"/>
      <c r="F4" s="1445"/>
      <c r="G4" s="1445"/>
      <c r="H4" s="1445"/>
      <c r="I4" s="762"/>
    </row>
    <row r="5" spans="1:11" ht="13.15" x14ac:dyDescent="0.3">
      <c r="A5" s="1445" t="s">
        <v>1450</v>
      </c>
      <c r="B5" s="1445"/>
      <c r="C5" s="1445"/>
      <c r="D5" s="1445"/>
      <c r="E5" s="1445"/>
      <c r="F5" s="1445"/>
      <c r="G5" s="1445"/>
      <c r="H5" s="1445"/>
      <c r="I5" s="762"/>
    </row>
    <row r="6" spans="1:11" ht="13.15" x14ac:dyDescent="0.3">
      <c r="A6" s="1445" t="str">
        <f>DG!C66</f>
        <v>OBIECT 7 - Dotari specifice</v>
      </c>
      <c r="B6" s="1445"/>
      <c r="C6" s="1445"/>
      <c r="D6" s="1445"/>
      <c r="E6" s="1445"/>
      <c r="F6" s="1445"/>
      <c r="G6" s="1445"/>
      <c r="H6" s="1445"/>
      <c r="I6" s="548"/>
    </row>
    <row r="7" spans="1:11" ht="13.15" x14ac:dyDescent="0.3">
      <c r="A7" s="762"/>
      <c r="B7" s="762"/>
      <c r="C7" s="762"/>
      <c r="D7" s="548"/>
      <c r="E7" s="762"/>
      <c r="F7" s="762"/>
      <c r="G7" s="762"/>
      <c r="H7" s="762"/>
      <c r="I7" s="762"/>
    </row>
    <row r="8" spans="1:11" ht="13.15" x14ac:dyDescent="0.3">
      <c r="A8" s="359"/>
      <c r="B8" s="362"/>
      <c r="C8" s="357"/>
      <c r="D8" s="766">
        <v>1.1499999999999999</v>
      </c>
      <c r="E8" s="358"/>
      <c r="F8" s="358"/>
      <c r="G8" s="359"/>
      <c r="H8" s="359"/>
      <c r="I8" s="359"/>
    </row>
    <row r="9" spans="1:11" ht="25.5" x14ac:dyDescent="0.25">
      <c r="A9" s="1446" t="s">
        <v>1179</v>
      </c>
      <c r="B9" s="1446" t="s">
        <v>1180</v>
      </c>
      <c r="C9" s="1446" t="s">
        <v>1181</v>
      </c>
      <c r="D9" s="1447" t="s">
        <v>1182</v>
      </c>
      <c r="E9" s="1448" t="s">
        <v>1182</v>
      </c>
      <c r="F9" s="763" t="s">
        <v>1183</v>
      </c>
      <c r="G9" s="1446" t="s">
        <v>1184</v>
      </c>
      <c r="H9" s="1446" t="s">
        <v>1185</v>
      </c>
      <c r="I9" s="764" t="s">
        <v>1451</v>
      </c>
      <c r="K9" s="363"/>
    </row>
    <row r="10" spans="1:11" x14ac:dyDescent="0.25">
      <c r="A10" s="1446"/>
      <c r="B10" s="1446"/>
      <c r="C10" s="1446"/>
      <c r="D10" s="1447"/>
      <c r="E10" s="1448"/>
      <c r="F10" s="763" t="s">
        <v>1186</v>
      </c>
      <c r="G10" s="1446"/>
      <c r="H10" s="1446"/>
      <c r="I10" s="765"/>
      <c r="K10" s="363"/>
    </row>
    <row r="11" spans="1:11" ht="13.15" x14ac:dyDescent="0.3">
      <c r="A11" s="572">
        <v>1</v>
      </c>
      <c r="B11" s="572">
        <v>2</v>
      </c>
      <c r="C11" s="572">
        <v>3</v>
      </c>
      <c r="D11" s="768"/>
      <c r="E11" s="573">
        <v>4</v>
      </c>
      <c r="F11" s="573">
        <v>5</v>
      </c>
      <c r="G11" s="572">
        <v>7</v>
      </c>
      <c r="H11" s="572">
        <v>6</v>
      </c>
      <c r="I11" s="364"/>
    </row>
    <row r="12" spans="1:11" ht="13.15" x14ac:dyDescent="0.3">
      <c r="A12" s="815" t="s">
        <v>1457</v>
      </c>
      <c r="B12" s="565"/>
      <c r="C12" s="574"/>
      <c r="D12" s="772"/>
      <c r="E12" s="575"/>
      <c r="F12" s="575"/>
      <c r="G12" s="576"/>
      <c r="H12" s="577"/>
      <c r="I12" s="530"/>
    </row>
    <row r="13" spans="1:11" ht="26.45" x14ac:dyDescent="0.3">
      <c r="A13" s="366" t="s">
        <v>1458</v>
      </c>
      <c r="B13" s="535"/>
      <c r="C13" s="531"/>
      <c r="D13" s="770"/>
      <c r="E13" s="369"/>
      <c r="F13" s="401">
        <f>E13*C13</f>
        <v>0</v>
      </c>
      <c r="G13" s="530"/>
      <c r="H13" s="530"/>
      <c r="I13" s="553" t="s">
        <v>1452</v>
      </c>
      <c r="K13" s="559"/>
    </row>
    <row r="14" spans="1:11" ht="14.45" x14ac:dyDescent="0.3">
      <c r="A14" s="366" t="s">
        <v>1459</v>
      </c>
      <c r="B14" s="555"/>
      <c r="C14" s="556"/>
      <c r="D14" s="771"/>
      <c r="E14" s="401"/>
      <c r="F14" s="401">
        <f t="shared" ref="F14:F15" si="0">E14*C14</f>
        <v>0</v>
      </c>
      <c r="G14" s="557"/>
      <c r="H14" s="557"/>
      <c r="I14" s="530"/>
      <c r="K14" s="559"/>
    </row>
    <row r="15" spans="1:11" ht="26.45" x14ac:dyDescent="0.3">
      <c r="A15" s="366" t="s">
        <v>1460</v>
      </c>
      <c r="B15" s="555"/>
      <c r="C15" s="556"/>
      <c r="D15" s="771"/>
      <c r="E15" s="401"/>
      <c r="F15" s="401">
        <f t="shared" si="0"/>
        <v>0</v>
      </c>
      <c r="G15" s="557"/>
      <c r="H15" s="557"/>
      <c r="I15" s="553" t="s">
        <v>1453</v>
      </c>
      <c r="K15" s="426"/>
    </row>
    <row r="16" spans="1:11" ht="13.15" x14ac:dyDescent="0.3">
      <c r="A16" s="1444" t="s">
        <v>545</v>
      </c>
      <c r="B16" s="1444"/>
      <c r="C16" s="1444"/>
      <c r="D16" s="1444"/>
      <c r="E16" s="1444"/>
      <c r="F16" s="370">
        <f>SUM(F12:F15)</f>
        <v>0</v>
      </c>
      <c r="G16" s="1444" t="s">
        <v>1188</v>
      </c>
      <c r="H16" s="1444"/>
      <c r="I16" s="761"/>
    </row>
    <row r="17" spans="1:17" ht="13.15" x14ac:dyDescent="0.3">
      <c r="A17" s="359"/>
      <c r="B17" s="371"/>
      <c r="C17" s="372"/>
      <c r="D17" s="773"/>
      <c r="E17" s="358"/>
      <c r="F17" s="358"/>
      <c r="G17" s="359"/>
      <c r="H17" s="359"/>
      <c r="I17" s="359"/>
    </row>
    <row r="18" spans="1:17" ht="13.9" x14ac:dyDescent="0.25">
      <c r="A18" s="359"/>
      <c r="B18" s="363"/>
      <c r="C18" s="357"/>
      <c r="D18" s="767"/>
      <c r="E18" s="358"/>
      <c r="F18" s="358"/>
      <c r="G18" s="359"/>
      <c r="H18" s="44" t="s">
        <v>82</v>
      </c>
      <c r="I18" s="44"/>
    </row>
    <row r="19" spans="1:17" ht="15" x14ac:dyDescent="0.25">
      <c r="A19" s="359"/>
      <c r="B19" s="371"/>
      <c r="C19" s="357"/>
      <c r="D19" s="767"/>
      <c r="E19" s="358"/>
      <c r="F19" s="358"/>
      <c r="G19" s="359"/>
      <c r="H19" s="45" t="s">
        <v>1448</v>
      </c>
      <c r="I19" s="45"/>
    </row>
    <row r="20" spans="1:17" ht="13.9" x14ac:dyDescent="0.25">
      <c r="A20" s="359"/>
      <c r="B20" s="362"/>
      <c r="C20" s="357"/>
      <c r="D20" s="767"/>
      <c r="E20" s="358"/>
      <c r="F20" s="358"/>
      <c r="G20" s="359"/>
      <c r="H20" s="44" t="s">
        <v>1516</v>
      </c>
      <c r="I20" s="44"/>
    </row>
    <row r="21" spans="1:17" ht="13.9" x14ac:dyDescent="0.25">
      <c r="A21" s="359"/>
      <c r="B21" s="371"/>
      <c r="C21" s="357"/>
      <c r="D21" s="767"/>
      <c r="E21" s="358"/>
      <c r="F21" s="358"/>
      <c r="G21" s="359"/>
      <c r="H21" s="45" t="s">
        <v>83</v>
      </c>
      <c r="I21" s="45"/>
    </row>
    <row r="22" spans="1:17" ht="13.9" x14ac:dyDescent="0.25">
      <c r="A22" s="359"/>
      <c r="B22" s="362"/>
      <c r="C22" s="357"/>
      <c r="D22" s="767"/>
      <c r="E22" s="358"/>
      <c r="F22" s="358"/>
      <c r="G22" s="359"/>
      <c r="H22" s="45" t="s">
        <v>1517</v>
      </c>
      <c r="I22" s="45"/>
    </row>
    <row r="23" spans="1:17" ht="13.15" x14ac:dyDescent="0.3">
      <c r="A23" s="359"/>
      <c r="B23" s="371"/>
      <c r="C23" s="357"/>
      <c r="D23" s="767"/>
      <c r="E23" s="358"/>
      <c r="F23" s="358"/>
      <c r="G23" s="359"/>
      <c r="H23" s="359"/>
      <c r="I23" s="359"/>
    </row>
    <row r="25" spans="1:17" ht="13.15" x14ac:dyDescent="0.3">
      <c r="A25" s="378"/>
    </row>
    <row r="26" spans="1:17" ht="13.15" x14ac:dyDescent="0.3">
      <c r="A26" s="378"/>
      <c r="B26" s="360"/>
      <c r="H26" s="379"/>
      <c r="I26" s="379"/>
    </row>
    <row r="27" spans="1:17" ht="13.15" x14ac:dyDescent="0.3">
      <c r="A27" s="378"/>
      <c r="B27" s="360"/>
      <c r="J27" s="374"/>
      <c r="K27" s="374"/>
      <c r="L27" s="374"/>
      <c r="M27" s="374"/>
      <c r="N27" s="374"/>
      <c r="O27" s="374"/>
      <c r="P27" s="374"/>
      <c r="Q27" s="374"/>
    </row>
    <row r="28" spans="1:17" ht="13.15" x14ac:dyDescent="0.3">
      <c r="A28" s="378"/>
      <c r="B28" s="360"/>
      <c r="H28" s="379"/>
      <c r="I28" s="379"/>
      <c r="J28" s="374"/>
      <c r="K28" s="374"/>
      <c r="L28" s="374"/>
      <c r="M28" s="374"/>
      <c r="N28" s="374"/>
      <c r="O28" s="374"/>
      <c r="P28" s="374"/>
      <c r="Q28" s="374"/>
    </row>
    <row r="29" spans="1:17" ht="13.15" x14ac:dyDescent="0.3">
      <c r="A29" s="378"/>
      <c r="B29" s="360"/>
      <c r="J29" s="374"/>
      <c r="K29" s="374"/>
      <c r="L29" s="374"/>
      <c r="M29" s="374"/>
      <c r="N29" s="374"/>
      <c r="O29" s="374"/>
      <c r="P29" s="374"/>
      <c r="Q29" s="374"/>
    </row>
    <row r="30" spans="1:17" ht="13.15" x14ac:dyDescent="0.3">
      <c r="A30" s="378"/>
      <c r="B30" s="360"/>
      <c r="J30" s="374"/>
      <c r="K30" s="374"/>
      <c r="L30" s="374"/>
      <c r="M30" s="374"/>
      <c r="N30" s="374"/>
      <c r="O30" s="374"/>
      <c r="P30" s="374"/>
      <c r="Q30" s="374"/>
    </row>
    <row r="31" spans="1:17" ht="13.15" x14ac:dyDescent="0.3">
      <c r="A31" s="378"/>
      <c r="B31" s="360"/>
      <c r="H31" s="379"/>
      <c r="I31" s="379"/>
      <c r="J31" s="374"/>
      <c r="K31" s="374"/>
      <c r="L31" s="374"/>
      <c r="M31" s="374"/>
      <c r="N31" s="374"/>
      <c r="O31" s="374"/>
      <c r="P31" s="374"/>
      <c r="Q31" s="374"/>
    </row>
    <row r="32" spans="1:17" ht="13.15" x14ac:dyDescent="0.3">
      <c r="A32" s="378"/>
      <c r="B32" s="363"/>
      <c r="H32" s="379"/>
      <c r="I32" s="379"/>
      <c r="J32" s="374"/>
      <c r="K32" s="374"/>
      <c r="L32" s="374"/>
      <c r="M32" s="374"/>
      <c r="N32" s="374"/>
      <c r="O32" s="374"/>
      <c r="P32" s="374"/>
      <c r="Q32" s="374"/>
    </row>
    <row r="33" spans="1:17" ht="13.15" x14ac:dyDescent="0.3">
      <c r="A33" s="378"/>
      <c r="B33" s="360"/>
      <c r="H33" s="379"/>
      <c r="I33" s="379"/>
      <c r="J33" s="374"/>
      <c r="K33" s="374"/>
      <c r="L33" s="374"/>
      <c r="M33" s="374"/>
      <c r="N33" s="374"/>
      <c r="O33" s="374"/>
      <c r="P33" s="374"/>
      <c r="Q33" s="374"/>
    </row>
    <row r="34" spans="1:17" ht="13.15" x14ac:dyDescent="0.3">
      <c r="A34" s="378"/>
      <c r="B34" s="360"/>
      <c r="H34" s="379"/>
      <c r="I34" s="379"/>
      <c r="J34" s="374"/>
      <c r="K34" s="374"/>
      <c r="L34" s="374"/>
      <c r="M34" s="374"/>
      <c r="N34" s="374"/>
      <c r="O34" s="374"/>
      <c r="P34" s="374"/>
      <c r="Q34" s="374"/>
    </row>
    <row r="35" spans="1:17" x14ac:dyDescent="0.25">
      <c r="A35" s="378"/>
      <c r="B35" s="360"/>
      <c r="H35" s="379"/>
      <c r="I35" s="379"/>
      <c r="J35" s="374"/>
      <c r="K35" s="374"/>
      <c r="L35" s="374"/>
      <c r="M35" s="374"/>
      <c r="N35" s="374"/>
      <c r="O35" s="374"/>
      <c r="P35" s="374"/>
      <c r="Q35" s="374"/>
    </row>
    <row r="36" spans="1:17" x14ac:dyDescent="0.25">
      <c r="A36" s="378"/>
      <c r="B36" s="360"/>
      <c r="H36" s="379"/>
      <c r="I36" s="379"/>
      <c r="J36" s="374"/>
      <c r="K36" s="374"/>
      <c r="L36" s="374"/>
      <c r="M36" s="374"/>
      <c r="N36" s="374"/>
      <c r="O36" s="374"/>
      <c r="P36" s="374"/>
      <c r="Q36" s="374"/>
    </row>
    <row r="37" spans="1:17" x14ac:dyDescent="0.25">
      <c r="A37" s="378"/>
      <c r="B37" s="360"/>
      <c r="H37" s="379"/>
      <c r="I37" s="379"/>
      <c r="J37" s="374"/>
      <c r="K37" s="374"/>
      <c r="L37" s="374"/>
      <c r="M37" s="374"/>
      <c r="N37" s="374"/>
      <c r="O37" s="374"/>
      <c r="P37" s="374"/>
      <c r="Q37" s="374"/>
    </row>
    <row r="38" spans="1:17" x14ac:dyDescent="0.25">
      <c r="A38" s="378"/>
      <c r="B38" s="360"/>
      <c r="H38" s="379"/>
      <c r="I38" s="379"/>
      <c r="J38" s="374"/>
      <c r="K38" s="374"/>
      <c r="L38" s="374"/>
      <c r="M38" s="374"/>
      <c r="N38" s="374"/>
      <c r="O38" s="374"/>
      <c r="P38" s="374"/>
      <c r="Q38" s="374"/>
    </row>
    <row r="39" spans="1:17" x14ac:dyDescent="0.25">
      <c r="A39" s="376"/>
      <c r="B39" s="360"/>
      <c r="E39" s="380"/>
      <c r="F39" s="380"/>
      <c r="G39" s="374"/>
      <c r="H39" s="374"/>
      <c r="I39" s="374"/>
      <c r="J39" s="374"/>
      <c r="K39" s="374"/>
      <c r="L39" s="374"/>
      <c r="M39" s="374"/>
      <c r="N39" s="374"/>
      <c r="O39" s="374"/>
      <c r="P39" s="374"/>
      <c r="Q39" s="374"/>
    </row>
    <row r="40" spans="1:17" x14ac:dyDescent="0.25">
      <c r="A40" s="376"/>
      <c r="B40" s="360"/>
      <c r="E40" s="380"/>
      <c r="F40" s="380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</row>
    <row r="41" spans="1:17" x14ac:dyDescent="0.25">
      <c r="B41" s="360"/>
      <c r="E41" s="380"/>
      <c r="F41" s="380"/>
      <c r="G41" s="374"/>
      <c r="H41" s="374"/>
      <c r="I41" s="374"/>
      <c r="J41" s="374"/>
      <c r="K41" s="374"/>
      <c r="L41" s="374"/>
      <c r="M41" s="374"/>
      <c r="N41" s="374"/>
      <c r="O41" s="374"/>
      <c r="P41" s="374"/>
      <c r="Q41" s="374"/>
    </row>
    <row r="42" spans="1:17" x14ac:dyDescent="0.25">
      <c r="B42" s="360"/>
      <c r="E42" s="380"/>
      <c r="F42" s="380"/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</row>
    <row r="43" spans="1:17" x14ac:dyDescent="0.25">
      <c r="A43" s="376"/>
      <c r="B43" s="360"/>
      <c r="E43" s="380"/>
      <c r="F43" s="380"/>
      <c r="G43" s="374"/>
      <c r="H43" s="374"/>
      <c r="I43" s="374"/>
      <c r="J43" s="374"/>
      <c r="K43" s="374"/>
      <c r="L43" s="374"/>
      <c r="M43" s="374"/>
      <c r="N43" s="374"/>
      <c r="O43" s="374"/>
      <c r="P43" s="374"/>
      <c r="Q43" s="374"/>
    </row>
    <row r="44" spans="1:17" x14ac:dyDescent="0.25">
      <c r="A44" s="376"/>
      <c r="B44" s="360"/>
      <c r="E44" s="380"/>
      <c r="F44" s="380"/>
      <c r="G44" s="374"/>
      <c r="H44" s="374"/>
      <c r="I44" s="374"/>
      <c r="J44" s="374"/>
      <c r="K44" s="374"/>
      <c r="L44" s="374"/>
      <c r="M44" s="374"/>
      <c r="N44" s="374"/>
      <c r="O44" s="374"/>
      <c r="P44" s="374"/>
      <c r="Q44" s="374"/>
    </row>
    <row r="45" spans="1:17" x14ac:dyDescent="0.25">
      <c r="A45" s="376"/>
      <c r="B45" s="360"/>
      <c r="E45" s="380"/>
      <c r="F45" s="380"/>
      <c r="G45" s="374"/>
      <c r="H45" s="374"/>
      <c r="I45" s="374"/>
      <c r="J45" s="374"/>
      <c r="K45" s="374"/>
      <c r="L45" s="374"/>
      <c r="M45" s="374"/>
      <c r="N45" s="374"/>
      <c r="O45" s="374"/>
      <c r="P45" s="374"/>
      <c r="Q45" s="374"/>
    </row>
    <row r="46" spans="1:17" x14ac:dyDescent="0.25">
      <c r="A46" s="376"/>
      <c r="B46" s="360"/>
      <c r="E46" s="380"/>
      <c r="F46" s="380"/>
      <c r="G46" s="374"/>
      <c r="H46" s="374"/>
      <c r="I46" s="374"/>
      <c r="J46" s="374"/>
      <c r="K46" s="374"/>
      <c r="L46" s="374"/>
      <c r="M46" s="374"/>
      <c r="N46" s="374"/>
      <c r="O46" s="374"/>
      <c r="P46" s="374"/>
      <c r="Q46" s="374"/>
    </row>
    <row r="47" spans="1:17" x14ac:dyDescent="0.25">
      <c r="A47" s="376"/>
      <c r="B47" s="360"/>
      <c r="E47" s="380"/>
      <c r="F47" s="380"/>
      <c r="G47" s="374"/>
      <c r="H47" s="374"/>
      <c r="I47" s="374"/>
      <c r="J47" s="374"/>
      <c r="K47" s="374"/>
      <c r="L47" s="374"/>
      <c r="M47" s="374"/>
      <c r="N47" s="374"/>
      <c r="O47" s="374"/>
      <c r="P47" s="374"/>
      <c r="Q47" s="374"/>
    </row>
    <row r="48" spans="1:17" x14ac:dyDescent="0.25">
      <c r="A48" s="376"/>
      <c r="B48" s="360"/>
      <c r="E48" s="380"/>
      <c r="F48" s="380"/>
      <c r="G48" s="374"/>
      <c r="H48" s="374"/>
      <c r="I48" s="374"/>
      <c r="J48" s="374"/>
      <c r="K48" s="374"/>
      <c r="L48" s="374"/>
      <c r="M48" s="374"/>
      <c r="N48" s="374"/>
      <c r="O48" s="374"/>
      <c r="P48" s="374"/>
      <c r="Q48" s="374"/>
    </row>
    <row r="49" spans="1:17" x14ac:dyDescent="0.25">
      <c r="A49" s="376"/>
      <c r="E49" s="380"/>
      <c r="F49" s="380"/>
      <c r="G49" s="374"/>
      <c r="H49" s="374"/>
      <c r="I49" s="374"/>
      <c r="J49" s="374"/>
      <c r="K49" s="374"/>
      <c r="L49" s="374"/>
      <c r="M49" s="374"/>
      <c r="N49" s="374"/>
      <c r="O49" s="374"/>
      <c r="P49" s="374"/>
      <c r="Q49" s="374"/>
    </row>
    <row r="50" spans="1:17" x14ac:dyDescent="0.25">
      <c r="A50" s="376"/>
      <c r="E50" s="380"/>
      <c r="F50" s="380"/>
      <c r="G50" s="374"/>
      <c r="H50" s="374"/>
      <c r="I50" s="374"/>
      <c r="J50" s="374"/>
      <c r="K50" s="374"/>
      <c r="L50" s="374"/>
      <c r="M50" s="374"/>
      <c r="N50" s="374"/>
      <c r="O50" s="374"/>
      <c r="P50" s="374"/>
      <c r="Q50" s="374"/>
    </row>
    <row r="51" spans="1:17" x14ac:dyDescent="0.25">
      <c r="A51" s="376"/>
      <c r="B51" s="360"/>
      <c r="E51" s="380"/>
      <c r="F51" s="380"/>
      <c r="G51" s="374"/>
      <c r="H51" s="374"/>
      <c r="I51" s="374"/>
      <c r="J51" s="374"/>
      <c r="K51" s="374"/>
      <c r="L51" s="374"/>
      <c r="M51" s="374"/>
      <c r="N51" s="374"/>
      <c r="O51" s="374"/>
      <c r="P51" s="374"/>
      <c r="Q51" s="374"/>
    </row>
    <row r="52" spans="1:17" x14ac:dyDescent="0.25">
      <c r="A52" s="376"/>
      <c r="E52" s="380"/>
      <c r="F52" s="380"/>
      <c r="G52" s="374"/>
      <c r="H52" s="374"/>
      <c r="I52" s="374"/>
      <c r="J52" s="374"/>
      <c r="K52" s="374"/>
      <c r="L52" s="374"/>
      <c r="M52" s="374"/>
      <c r="N52" s="374"/>
      <c r="O52" s="374"/>
      <c r="P52" s="374"/>
      <c r="Q52" s="374"/>
    </row>
    <row r="53" spans="1:17" x14ac:dyDescent="0.25">
      <c r="A53" s="376"/>
      <c r="E53" s="380"/>
      <c r="F53" s="380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</row>
    <row r="54" spans="1:17" x14ac:dyDescent="0.25">
      <c r="A54" s="376"/>
      <c r="E54" s="380"/>
      <c r="F54" s="380"/>
      <c r="G54" s="374"/>
      <c r="H54" s="374"/>
      <c r="I54" s="374"/>
      <c r="J54" s="374"/>
      <c r="K54" s="374"/>
      <c r="L54" s="374"/>
      <c r="M54" s="374"/>
      <c r="N54" s="374"/>
      <c r="O54" s="374"/>
      <c r="P54" s="374"/>
      <c r="Q54" s="374"/>
    </row>
    <row r="55" spans="1:17" x14ac:dyDescent="0.25">
      <c r="A55" s="376"/>
      <c r="E55" s="380"/>
      <c r="F55" s="380"/>
      <c r="G55" s="374"/>
      <c r="H55" s="374"/>
      <c r="I55" s="374"/>
      <c r="J55" s="374"/>
      <c r="K55" s="374"/>
      <c r="L55" s="374"/>
      <c r="M55" s="374"/>
      <c r="N55" s="374"/>
      <c r="O55" s="374"/>
      <c r="P55" s="374"/>
      <c r="Q55" s="374"/>
    </row>
    <row r="56" spans="1:17" x14ac:dyDescent="0.25">
      <c r="A56" s="376"/>
      <c r="E56" s="380"/>
      <c r="F56" s="380"/>
      <c r="G56" s="374"/>
      <c r="H56" s="374"/>
      <c r="I56" s="374"/>
      <c r="J56" s="374"/>
      <c r="K56" s="374"/>
      <c r="L56" s="374"/>
      <c r="M56" s="374"/>
      <c r="N56" s="374"/>
      <c r="O56" s="374"/>
      <c r="P56" s="374"/>
      <c r="Q56" s="374"/>
    </row>
    <row r="57" spans="1:17" x14ac:dyDescent="0.25">
      <c r="A57" s="376"/>
      <c r="E57" s="380"/>
      <c r="F57" s="380"/>
      <c r="G57" s="374"/>
      <c r="H57" s="374"/>
      <c r="I57" s="374"/>
      <c r="J57" s="374"/>
      <c r="K57" s="374"/>
      <c r="L57" s="374"/>
      <c r="M57" s="374"/>
      <c r="N57" s="374"/>
      <c r="O57" s="374"/>
      <c r="P57" s="374"/>
      <c r="Q57" s="374"/>
    </row>
    <row r="58" spans="1:17" x14ac:dyDescent="0.25">
      <c r="A58" s="376"/>
      <c r="E58" s="380"/>
      <c r="F58" s="380"/>
      <c r="G58" s="374"/>
      <c r="H58" s="374"/>
      <c r="I58" s="374"/>
      <c r="J58" s="374"/>
      <c r="K58" s="374"/>
      <c r="L58" s="374"/>
      <c r="M58" s="374"/>
      <c r="N58" s="374"/>
      <c r="O58" s="374"/>
      <c r="P58" s="374"/>
      <c r="Q58" s="374"/>
    </row>
    <row r="59" spans="1:17" x14ac:dyDescent="0.25">
      <c r="B59" s="360"/>
      <c r="E59" s="380"/>
      <c r="F59" s="380"/>
      <c r="G59" s="374"/>
      <c r="H59" s="374"/>
      <c r="I59" s="374"/>
      <c r="J59" s="374"/>
      <c r="K59" s="374"/>
      <c r="L59" s="374"/>
      <c r="M59" s="374"/>
      <c r="N59" s="374"/>
      <c r="O59" s="374"/>
      <c r="P59" s="374"/>
      <c r="Q59" s="374"/>
    </row>
    <row r="60" spans="1:17" x14ac:dyDescent="0.25">
      <c r="B60" s="360"/>
      <c r="E60" s="380"/>
      <c r="F60" s="380"/>
      <c r="G60" s="374"/>
      <c r="H60" s="374"/>
      <c r="I60" s="374"/>
      <c r="J60" s="374"/>
      <c r="K60" s="374"/>
      <c r="L60" s="374"/>
      <c r="M60" s="374"/>
      <c r="N60" s="374"/>
      <c r="O60" s="374"/>
      <c r="P60" s="374"/>
      <c r="Q60" s="374"/>
    </row>
    <row r="61" spans="1:17" x14ac:dyDescent="0.25">
      <c r="B61" s="360"/>
      <c r="E61" s="380"/>
      <c r="F61" s="380"/>
      <c r="G61" s="374"/>
      <c r="H61" s="374"/>
      <c r="I61" s="374"/>
      <c r="J61" s="374"/>
      <c r="K61" s="374"/>
      <c r="L61" s="374"/>
      <c r="M61" s="374"/>
      <c r="N61" s="374"/>
      <c r="O61" s="374"/>
      <c r="P61" s="374"/>
      <c r="Q61" s="374"/>
    </row>
    <row r="62" spans="1:17" x14ac:dyDescent="0.25">
      <c r="A62" s="376"/>
      <c r="B62" s="360"/>
      <c r="E62" s="380"/>
      <c r="F62" s="380"/>
      <c r="G62" s="374"/>
      <c r="H62" s="374"/>
      <c r="I62" s="374"/>
      <c r="J62" s="374"/>
      <c r="K62" s="374"/>
      <c r="L62" s="374"/>
      <c r="M62" s="374"/>
      <c r="N62" s="374"/>
      <c r="O62" s="374"/>
      <c r="P62" s="374"/>
      <c r="Q62" s="374"/>
    </row>
    <row r="63" spans="1:17" x14ac:dyDescent="0.25">
      <c r="A63" s="376"/>
      <c r="B63" s="360"/>
      <c r="E63" s="380"/>
      <c r="F63" s="380"/>
      <c r="G63" s="374"/>
      <c r="H63" s="374"/>
      <c r="I63" s="374"/>
      <c r="J63" s="374"/>
      <c r="K63" s="374"/>
      <c r="L63" s="374"/>
      <c r="M63" s="374"/>
      <c r="N63" s="374"/>
      <c r="O63" s="374"/>
      <c r="P63" s="374"/>
      <c r="Q63" s="374"/>
    </row>
    <row r="64" spans="1:17" x14ac:dyDescent="0.25">
      <c r="A64" s="376"/>
      <c r="B64" s="360"/>
      <c r="E64" s="380"/>
      <c r="F64" s="380"/>
      <c r="G64" s="374"/>
      <c r="H64" s="374"/>
      <c r="I64" s="374"/>
      <c r="J64" s="374"/>
      <c r="K64" s="374"/>
      <c r="L64" s="374"/>
      <c r="M64" s="374"/>
      <c r="N64" s="374"/>
      <c r="O64" s="374"/>
      <c r="P64" s="374"/>
      <c r="Q64" s="374"/>
    </row>
    <row r="65" spans="1:18" x14ac:dyDescent="0.25">
      <c r="A65" s="376"/>
      <c r="B65" s="360"/>
      <c r="E65" s="380"/>
      <c r="F65" s="380"/>
      <c r="G65" s="374"/>
      <c r="H65" s="374"/>
      <c r="I65" s="374"/>
      <c r="J65" s="374"/>
      <c r="K65" s="374"/>
      <c r="L65" s="374"/>
      <c r="M65" s="374"/>
      <c r="N65" s="374"/>
      <c r="O65" s="374"/>
      <c r="P65" s="374"/>
      <c r="Q65" s="374"/>
    </row>
    <row r="66" spans="1:18" x14ac:dyDescent="0.25">
      <c r="A66" s="376"/>
      <c r="B66" s="360"/>
      <c r="E66" s="380"/>
      <c r="F66" s="380"/>
      <c r="G66" s="374"/>
      <c r="H66" s="374"/>
      <c r="I66" s="374"/>
      <c r="J66" s="374"/>
      <c r="K66" s="374"/>
      <c r="L66" s="374"/>
      <c r="M66" s="374"/>
      <c r="N66" s="374"/>
      <c r="O66" s="374"/>
      <c r="P66" s="374"/>
      <c r="Q66" s="374"/>
    </row>
    <row r="67" spans="1:18" x14ac:dyDescent="0.25">
      <c r="A67" s="376"/>
      <c r="B67" s="360"/>
      <c r="E67" s="380"/>
      <c r="F67" s="380"/>
      <c r="G67" s="374"/>
      <c r="H67" s="374"/>
      <c r="I67" s="374"/>
      <c r="J67" s="374"/>
      <c r="K67" s="374"/>
      <c r="L67" s="374"/>
      <c r="M67" s="374"/>
      <c r="N67" s="374"/>
      <c r="O67" s="374"/>
      <c r="P67" s="374"/>
      <c r="Q67" s="374"/>
    </row>
    <row r="68" spans="1:18" x14ac:dyDescent="0.25">
      <c r="A68" s="376"/>
      <c r="B68" s="360"/>
      <c r="E68" s="380"/>
      <c r="F68" s="380"/>
      <c r="G68" s="374"/>
      <c r="H68" s="374"/>
      <c r="I68" s="374"/>
      <c r="J68" s="374"/>
      <c r="K68" s="374"/>
      <c r="L68" s="374"/>
      <c r="M68" s="374"/>
      <c r="N68" s="374"/>
      <c r="O68" s="374"/>
      <c r="P68" s="374"/>
      <c r="Q68" s="374"/>
    </row>
    <row r="69" spans="1:18" x14ac:dyDescent="0.25">
      <c r="A69" s="376"/>
      <c r="B69" s="360"/>
      <c r="E69" s="380"/>
      <c r="F69" s="380"/>
      <c r="G69" s="374"/>
      <c r="H69" s="374"/>
      <c r="I69" s="374"/>
      <c r="J69" s="374"/>
      <c r="K69" s="374"/>
      <c r="L69" s="374"/>
      <c r="M69" s="374"/>
      <c r="N69" s="374"/>
      <c r="O69" s="374"/>
      <c r="P69" s="374"/>
      <c r="Q69" s="374"/>
    </row>
    <row r="70" spans="1:18" x14ac:dyDescent="0.25">
      <c r="B70" s="360"/>
      <c r="E70" s="380"/>
      <c r="F70" s="380"/>
      <c r="G70" s="374"/>
      <c r="H70" s="374"/>
      <c r="I70" s="374"/>
      <c r="J70" s="374"/>
      <c r="K70" s="374"/>
      <c r="L70" s="374"/>
      <c r="M70" s="374"/>
      <c r="N70" s="374"/>
      <c r="O70" s="374"/>
      <c r="P70" s="374"/>
      <c r="Q70" s="374"/>
    </row>
    <row r="71" spans="1:18" x14ac:dyDescent="0.25">
      <c r="C71" s="381"/>
      <c r="D71" s="775"/>
      <c r="E71" s="382"/>
    </row>
    <row r="72" spans="1:18" s="375" customFormat="1" x14ac:dyDescent="0.25">
      <c r="A72" s="376"/>
      <c r="B72" s="373"/>
      <c r="C72" s="381"/>
      <c r="D72" s="775"/>
      <c r="E72" s="382"/>
      <c r="G72" s="360"/>
      <c r="H72" s="360"/>
      <c r="I72" s="360"/>
      <c r="J72" s="360"/>
      <c r="K72" s="360"/>
      <c r="L72" s="360"/>
      <c r="M72" s="360"/>
      <c r="N72" s="360"/>
      <c r="O72" s="360"/>
      <c r="P72" s="360"/>
      <c r="Q72" s="360"/>
      <c r="R72" s="360"/>
    </row>
    <row r="73" spans="1:18" s="375" customFormat="1" x14ac:dyDescent="0.25">
      <c r="A73" s="376"/>
      <c r="B73" s="373"/>
      <c r="C73" s="381"/>
      <c r="D73" s="775"/>
      <c r="E73" s="382"/>
      <c r="G73" s="360"/>
      <c r="H73" s="360"/>
      <c r="I73" s="360"/>
      <c r="J73" s="360"/>
      <c r="K73" s="360"/>
      <c r="L73" s="360"/>
      <c r="M73" s="360"/>
      <c r="N73" s="360"/>
      <c r="O73" s="360"/>
      <c r="P73" s="360"/>
      <c r="Q73" s="360"/>
      <c r="R73" s="360"/>
    </row>
    <row r="74" spans="1:18" s="375" customFormat="1" x14ac:dyDescent="0.25">
      <c r="A74" s="376"/>
      <c r="B74" s="373"/>
      <c r="C74" s="381"/>
      <c r="D74" s="775"/>
      <c r="E74" s="382"/>
      <c r="G74" s="360"/>
      <c r="H74" s="360"/>
      <c r="I74" s="360"/>
      <c r="J74" s="360"/>
      <c r="K74" s="360"/>
      <c r="L74" s="360"/>
      <c r="M74" s="360"/>
      <c r="N74" s="360"/>
      <c r="O74" s="360"/>
      <c r="P74" s="360"/>
      <c r="Q74" s="360"/>
      <c r="R74" s="360"/>
    </row>
    <row r="75" spans="1:18" s="375" customFormat="1" x14ac:dyDescent="0.25">
      <c r="A75" s="376"/>
      <c r="B75" s="360"/>
      <c r="C75" s="381"/>
      <c r="D75" s="775"/>
      <c r="E75" s="382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</row>
    <row r="76" spans="1:18" s="375" customFormat="1" x14ac:dyDescent="0.25">
      <c r="A76" s="376"/>
      <c r="B76" s="360"/>
      <c r="C76" s="381"/>
      <c r="D76" s="775"/>
      <c r="E76" s="382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</row>
    <row r="77" spans="1:18" s="375" customFormat="1" x14ac:dyDescent="0.25">
      <c r="A77" s="376"/>
      <c r="B77" s="360"/>
      <c r="C77" s="381"/>
      <c r="D77" s="775"/>
      <c r="E77" s="382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</row>
    <row r="78" spans="1:18" s="375" customFormat="1" x14ac:dyDescent="0.25">
      <c r="A78" s="376"/>
      <c r="B78" s="373"/>
      <c r="C78" s="374"/>
      <c r="D78" s="774"/>
      <c r="E78" s="382"/>
      <c r="G78" s="360"/>
      <c r="H78" s="360"/>
      <c r="I78" s="360"/>
      <c r="J78" s="360"/>
      <c r="K78" s="360"/>
      <c r="L78" s="360"/>
      <c r="M78" s="360"/>
      <c r="N78" s="360"/>
      <c r="O78" s="360"/>
      <c r="P78" s="360"/>
      <c r="Q78" s="360"/>
      <c r="R78" s="360"/>
    </row>
    <row r="79" spans="1:18" s="375" customFormat="1" x14ac:dyDescent="0.25">
      <c r="A79" s="376"/>
      <c r="B79" s="373"/>
      <c r="C79" s="374"/>
      <c r="D79" s="774"/>
      <c r="E79" s="382"/>
      <c r="G79" s="360"/>
      <c r="H79" s="360"/>
      <c r="I79" s="360"/>
      <c r="J79" s="360"/>
      <c r="K79" s="360"/>
      <c r="L79" s="360"/>
      <c r="M79" s="360"/>
      <c r="N79" s="360"/>
      <c r="O79" s="360"/>
      <c r="P79" s="360"/>
      <c r="Q79" s="360"/>
      <c r="R79" s="360"/>
    </row>
    <row r="80" spans="1:18" s="375" customFormat="1" x14ac:dyDescent="0.25">
      <c r="A80" s="376"/>
      <c r="B80" s="373"/>
      <c r="C80" s="381"/>
      <c r="D80" s="775"/>
      <c r="E80" s="382"/>
      <c r="G80" s="360"/>
      <c r="H80" s="360"/>
      <c r="I80" s="360"/>
      <c r="J80" s="360"/>
      <c r="K80" s="360"/>
      <c r="L80" s="360"/>
      <c r="M80" s="360"/>
      <c r="N80" s="360"/>
      <c r="O80" s="360"/>
      <c r="P80" s="360"/>
      <c r="Q80" s="360"/>
      <c r="R80" s="360"/>
    </row>
    <row r="81" spans="1:18" s="375" customFormat="1" x14ac:dyDescent="0.25">
      <c r="A81" s="376"/>
      <c r="B81" s="360"/>
      <c r="C81" s="381"/>
      <c r="D81" s="775"/>
      <c r="E81" s="382"/>
      <c r="G81" s="360"/>
      <c r="H81" s="360"/>
      <c r="I81" s="360"/>
      <c r="J81" s="360"/>
      <c r="K81" s="360"/>
      <c r="L81" s="360"/>
      <c r="M81" s="360"/>
      <c r="N81" s="360"/>
      <c r="O81" s="360"/>
      <c r="P81" s="360"/>
      <c r="Q81" s="360"/>
      <c r="R81" s="360"/>
    </row>
    <row r="82" spans="1:18" s="375" customFormat="1" x14ac:dyDescent="0.25">
      <c r="A82" s="376"/>
      <c r="B82" s="373"/>
      <c r="C82" s="381"/>
      <c r="D82" s="775"/>
      <c r="E82" s="382"/>
      <c r="G82" s="360"/>
      <c r="H82" s="360"/>
      <c r="I82" s="360"/>
      <c r="J82" s="360"/>
      <c r="K82" s="360"/>
      <c r="L82" s="360"/>
      <c r="M82" s="360"/>
      <c r="N82" s="360"/>
      <c r="O82" s="360"/>
      <c r="P82" s="360"/>
      <c r="Q82" s="360"/>
      <c r="R82" s="360"/>
    </row>
    <row r="83" spans="1:18" s="375" customFormat="1" x14ac:dyDescent="0.25">
      <c r="A83" s="376"/>
      <c r="B83" s="360"/>
      <c r="C83" s="381"/>
      <c r="D83" s="775"/>
      <c r="E83" s="382"/>
      <c r="G83" s="360"/>
      <c r="H83" s="360"/>
      <c r="I83" s="360"/>
      <c r="J83" s="360"/>
      <c r="K83" s="360"/>
      <c r="L83" s="360"/>
      <c r="M83" s="360"/>
      <c r="N83" s="360"/>
      <c r="O83" s="360"/>
      <c r="P83" s="360"/>
      <c r="Q83" s="360"/>
      <c r="R83" s="360"/>
    </row>
    <row r="84" spans="1:18" s="375" customFormat="1" x14ac:dyDescent="0.25">
      <c r="A84" s="376"/>
      <c r="B84" s="373"/>
      <c r="C84" s="381"/>
      <c r="D84" s="775"/>
      <c r="E84" s="382"/>
      <c r="G84" s="360"/>
      <c r="H84" s="360"/>
      <c r="I84" s="360"/>
      <c r="J84" s="360"/>
      <c r="K84" s="360"/>
      <c r="L84" s="360"/>
      <c r="M84" s="360"/>
      <c r="N84" s="360"/>
      <c r="O84" s="360"/>
      <c r="P84" s="360"/>
      <c r="Q84" s="360"/>
      <c r="R84" s="360"/>
    </row>
    <row r="85" spans="1:18" s="375" customFormat="1" x14ac:dyDescent="0.25">
      <c r="A85" s="376"/>
      <c r="B85" s="373"/>
      <c r="C85" s="381"/>
      <c r="D85" s="775"/>
      <c r="E85" s="382"/>
      <c r="G85" s="360"/>
      <c r="H85" s="360"/>
      <c r="I85" s="360"/>
      <c r="J85" s="360"/>
      <c r="K85" s="360"/>
      <c r="L85" s="360"/>
      <c r="M85" s="360"/>
      <c r="N85" s="360"/>
      <c r="O85" s="360"/>
      <c r="P85" s="360"/>
      <c r="Q85" s="360"/>
      <c r="R85" s="360"/>
    </row>
    <row r="86" spans="1:18" s="375" customFormat="1" x14ac:dyDescent="0.25">
      <c r="A86" s="360"/>
      <c r="B86" s="373"/>
      <c r="C86" s="381"/>
      <c r="D86" s="775"/>
      <c r="E86" s="382"/>
      <c r="G86" s="360"/>
      <c r="H86" s="360"/>
      <c r="I86" s="360"/>
      <c r="J86" s="360"/>
      <c r="K86" s="360"/>
      <c r="L86" s="360"/>
      <c r="M86" s="360"/>
      <c r="N86" s="360"/>
      <c r="O86" s="360"/>
      <c r="P86" s="360"/>
      <c r="Q86" s="360"/>
      <c r="R86" s="360"/>
    </row>
    <row r="87" spans="1:18" s="375" customFormat="1" x14ac:dyDescent="0.25">
      <c r="A87" s="360"/>
      <c r="B87" s="373"/>
      <c r="C87" s="381"/>
      <c r="D87" s="775"/>
      <c r="E87" s="382"/>
      <c r="G87" s="360"/>
      <c r="H87" s="360"/>
      <c r="I87" s="360"/>
      <c r="J87" s="360"/>
      <c r="K87" s="360"/>
      <c r="L87" s="360"/>
      <c r="M87" s="360"/>
      <c r="N87" s="360"/>
      <c r="O87" s="360"/>
      <c r="P87" s="360"/>
      <c r="Q87" s="360"/>
      <c r="R87" s="360"/>
    </row>
    <row r="88" spans="1:18" x14ac:dyDescent="0.25">
      <c r="C88" s="381"/>
      <c r="D88" s="775"/>
      <c r="E88" s="382"/>
    </row>
    <row r="89" spans="1:18" x14ac:dyDescent="0.25">
      <c r="C89" s="381"/>
      <c r="D89" s="775"/>
      <c r="E89" s="382"/>
    </row>
    <row r="90" spans="1:18" x14ac:dyDescent="0.25">
      <c r="C90" s="381"/>
      <c r="D90" s="775"/>
      <c r="E90" s="382"/>
    </row>
    <row r="91" spans="1:18" x14ac:dyDescent="0.25">
      <c r="C91" s="381"/>
      <c r="D91" s="775"/>
      <c r="E91" s="382"/>
    </row>
    <row r="92" spans="1:18" x14ac:dyDescent="0.25">
      <c r="C92" s="381"/>
      <c r="D92" s="775"/>
      <c r="E92" s="382"/>
    </row>
    <row r="93" spans="1:18" x14ac:dyDescent="0.25">
      <c r="C93" s="381"/>
      <c r="D93" s="775"/>
      <c r="E93" s="382"/>
    </row>
    <row r="94" spans="1:18" x14ac:dyDescent="0.25">
      <c r="C94" s="381"/>
      <c r="D94" s="775"/>
      <c r="E94" s="382"/>
    </row>
    <row r="95" spans="1:18" x14ac:dyDescent="0.25">
      <c r="C95" s="381"/>
      <c r="D95" s="775"/>
      <c r="E95" s="382"/>
    </row>
    <row r="96" spans="1:18" x14ac:dyDescent="0.25">
      <c r="B96" s="360"/>
      <c r="C96" s="381"/>
      <c r="D96" s="775"/>
      <c r="E96" s="382"/>
    </row>
    <row r="97" spans="1:17" x14ac:dyDescent="0.25">
      <c r="A97" s="383"/>
      <c r="B97" s="360"/>
      <c r="C97" s="384"/>
      <c r="D97" s="776"/>
      <c r="E97" s="380"/>
      <c r="G97" s="385"/>
      <c r="H97" s="385"/>
      <c r="I97" s="385"/>
      <c r="J97" s="385"/>
      <c r="K97" s="385"/>
      <c r="L97" s="385"/>
      <c r="M97" s="385"/>
      <c r="N97" s="385"/>
      <c r="O97" s="385"/>
      <c r="P97" s="385"/>
      <c r="Q97" s="385"/>
    </row>
    <row r="98" spans="1:17" x14ac:dyDescent="0.25">
      <c r="A98" s="383"/>
      <c r="B98" s="386"/>
      <c r="C98" s="384"/>
      <c r="D98" s="776"/>
      <c r="E98" s="380"/>
      <c r="F98" s="380"/>
      <c r="G98" s="387"/>
      <c r="H98" s="387"/>
      <c r="I98" s="387"/>
      <c r="J98" s="387"/>
      <c r="K98" s="387"/>
      <c r="L98" s="387"/>
      <c r="M98" s="387"/>
      <c r="N98" s="387"/>
      <c r="O98" s="387"/>
      <c r="P98" s="387"/>
      <c r="Q98" s="387"/>
    </row>
    <row r="99" spans="1:17" x14ac:dyDescent="0.25">
      <c r="A99" s="383"/>
      <c r="B99" s="386"/>
      <c r="C99" s="384"/>
      <c r="D99" s="776"/>
      <c r="G99" s="385"/>
      <c r="H99" s="385"/>
      <c r="I99" s="385"/>
      <c r="J99" s="385"/>
      <c r="K99" s="385"/>
      <c r="L99" s="385"/>
      <c r="M99" s="385"/>
      <c r="N99" s="385"/>
      <c r="O99" s="385"/>
      <c r="P99" s="385"/>
      <c r="Q99" s="385"/>
    </row>
    <row r="100" spans="1:17" x14ac:dyDescent="0.25">
      <c r="A100" s="383"/>
      <c r="B100" s="386"/>
      <c r="C100" s="384"/>
      <c r="D100" s="776"/>
      <c r="G100" s="385"/>
      <c r="H100" s="385"/>
      <c r="I100" s="385"/>
      <c r="J100" s="385"/>
      <c r="K100" s="385"/>
      <c r="L100" s="385"/>
      <c r="M100" s="385"/>
      <c r="N100" s="385"/>
      <c r="O100" s="385"/>
      <c r="P100" s="385"/>
      <c r="Q100" s="385"/>
    </row>
    <row r="101" spans="1:17" x14ac:dyDescent="0.25">
      <c r="A101" s="383"/>
      <c r="C101" s="384"/>
      <c r="D101" s="776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  <c r="Q101" s="385"/>
    </row>
    <row r="102" spans="1:17" x14ac:dyDescent="0.25">
      <c r="A102" s="383"/>
      <c r="C102" s="384"/>
      <c r="D102" s="776"/>
      <c r="G102" s="385"/>
      <c r="H102" s="385"/>
      <c r="I102" s="385"/>
      <c r="J102" s="385"/>
      <c r="K102" s="385"/>
      <c r="L102" s="385"/>
      <c r="M102" s="385"/>
      <c r="N102" s="385"/>
      <c r="O102" s="385"/>
      <c r="P102" s="385"/>
      <c r="Q102" s="385"/>
    </row>
    <row r="103" spans="1:17" x14ac:dyDescent="0.25">
      <c r="A103" s="383"/>
      <c r="B103" s="388"/>
      <c r="C103" s="384"/>
      <c r="D103" s="776"/>
      <c r="G103" s="385"/>
      <c r="H103" s="385"/>
      <c r="I103" s="385"/>
      <c r="J103" s="385"/>
      <c r="K103" s="385"/>
      <c r="L103" s="385"/>
      <c r="M103" s="385"/>
      <c r="N103" s="385"/>
      <c r="O103" s="385"/>
      <c r="P103" s="385"/>
      <c r="Q103" s="385"/>
    </row>
    <row r="104" spans="1:17" x14ac:dyDescent="0.25">
      <c r="A104" s="383"/>
      <c r="C104" s="384"/>
      <c r="D104" s="776"/>
      <c r="G104" s="385"/>
      <c r="H104" s="385"/>
      <c r="I104" s="385"/>
      <c r="J104" s="385"/>
      <c r="K104" s="385"/>
      <c r="L104" s="385"/>
      <c r="M104" s="385"/>
      <c r="N104" s="385"/>
      <c r="O104" s="385"/>
      <c r="P104" s="385"/>
      <c r="Q104" s="385"/>
    </row>
    <row r="105" spans="1:17" x14ac:dyDescent="0.25">
      <c r="A105" s="383"/>
      <c r="B105" s="386"/>
      <c r="C105" s="384"/>
      <c r="D105" s="776"/>
      <c r="G105" s="385"/>
      <c r="H105" s="385"/>
      <c r="I105" s="385"/>
      <c r="J105" s="385"/>
      <c r="K105" s="385"/>
      <c r="L105" s="385"/>
      <c r="M105" s="385"/>
      <c r="N105" s="385"/>
      <c r="O105" s="385"/>
      <c r="P105" s="385"/>
      <c r="Q105" s="385"/>
    </row>
    <row r="106" spans="1:17" x14ac:dyDescent="0.25">
      <c r="A106" s="383"/>
      <c r="B106" s="386"/>
      <c r="C106" s="384"/>
      <c r="D106" s="776"/>
      <c r="G106" s="385"/>
      <c r="H106" s="385"/>
      <c r="I106" s="385"/>
      <c r="J106" s="385"/>
      <c r="K106" s="385"/>
      <c r="L106" s="385"/>
      <c r="M106" s="385"/>
      <c r="N106" s="385"/>
      <c r="O106" s="385"/>
      <c r="P106" s="385"/>
      <c r="Q106" s="385"/>
    </row>
    <row r="107" spans="1:17" x14ac:dyDescent="0.25">
      <c r="A107" s="383"/>
      <c r="B107" s="386"/>
      <c r="C107" s="384"/>
      <c r="D107" s="776"/>
      <c r="G107" s="385"/>
      <c r="H107" s="385"/>
      <c r="I107" s="385"/>
      <c r="J107" s="385"/>
      <c r="K107" s="385"/>
      <c r="L107" s="385"/>
      <c r="M107" s="385"/>
      <c r="N107" s="385"/>
      <c r="O107" s="385"/>
      <c r="P107" s="385"/>
      <c r="Q107" s="385"/>
    </row>
    <row r="108" spans="1:17" x14ac:dyDescent="0.25">
      <c r="A108" s="383"/>
      <c r="B108" s="386"/>
      <c r="C108" s="384"/>
      <c r="D108" s="776"/>
      <c r="G108" s="385"/>
      <c r="H108" s="385"/>
      <c r="I108" s="385"/>
      <c r="J108" s="385"/>
      <c r="K108" s="385"/>
      <c r="L108" s="385"/>
      <c r="M108" s="385"/>
      <c r="N108" s="385"/>
      <c r="O108" s="385"/>
      <c r="P108" s="385"/>
      <c r="Q108" s="385"/>
    </row>
    <row r="109" spans="1:17" x14ac:dyDescent="0.25">
      <c r="A109" s="383"/>
      <c r="B109" s="386"/>
      <c r="C109" s="384"/>
      <c r="D109" s="776"/>
      <c r="G109" s="385"/>
      <c r="H109" s="385"/>
      <c r="I109" s="385"/>
      <c r="J109" s="385"/>
      <c r="K109" s="385"/>
      <c r="L109" s="385"/>
      <c r="M109" s="385"/>
      <c r="N109" s="385"/>
      <c r="O109" s="385"/>
      <c r="P109" s="385"/>
      <c r="Q109" s="385"/>
    </row>
    <row r="110" spans="1:17" x14ac:dyDescent="0.25">
      <c r="A110" s="383"/>
      <c r="B110" s="386"/>
      <c r="C110" s="384"/>
      <c r="D110" s="776"/>
      <c r="G110" s="385"/>
      <c r="H110" s="385"/>
      <c r="I110" s="385"/>
      <c r="J110" s="385"/>
      <c r="K110" s="385"/>
      <c r="L110" s="385"/>
      <c r="M110" s="385"/>
      <c r="N110" s="385"/>
      <c r="O110" s="385"/>
      <c r="P110" s="385"/>
      <c r="Q110" s="385"/>
    </row>
    <row r="111" spans="1:17" x14ac:dyDescent="0.25">
      <c r="C111" s="384"/>
      <c r="D111" s="776"/>
      <c r="G111" s="385"/>
      <c r="H111" s="385"/>
      <c r="I111" s="385"/>
      <c r="J111" s="385"/>
      <c r="K111" s="385"/>
      <c r="L111" s="385"/>
      <c r="M111" s="385"/>
      <c r="N111" s="385"/>
      <c r="O111" s="385"/>
      <c r="P111" s="385"/>
      <c r="Q111" s="385"/>
    </row>
    <row r="112" spans="1:17" x14ac:dyDescent="0.25">
      <c r="B112" s="386"/>
      <c r="C112" s="384"/>
      <c r="D112" s="776"/>
      <c r="G112" s="385"/>
      <c r="H112" s="385"/>
      <c r="I112" s="385"/>
      <c r="J112" s="385"/>
      <c r="K112" s="385"/>
      <c r="L112" s="385"/>
      <c r="M112" s="385"/>
      <c r="N112" s="385"/>
      <c r="O112" s="385"/>
      <c r="P112" s="385"/>
      <c r="Q112" s="385"/>
    </row>
    <row r="113" spans="2:17" x14ac:dyDescent="0.25">
      <c r="B113" s="386"/>
      <c r="C113" s="384"/>
      <c r="D113" s="776"/>
      <c r="G113" s="385"/>
      <c r="H113" s="385"/>
      <c r="I113" s="385"/>
      <c r="J113" s="385"/>
      <c r="K113" s="385"/>
      <c r="L113" s="385"/>
      <c r="M113" s="385"/>
      <c r="N113" s="385"/>
      <c r="O113" s="385"/>
      <c r="P113" s="385"/>
      <c r="Q113" s="385"/>
    </row>
    <row r="114" spans="2:17" x14ac:dyDescent="0.25">
      <c r="B114" s="386"/>
      <c r="C114" s="384"/>
      <c r="D114" s="776"/>
      <c r="G114" s="385"/>
      <c r="H114" s="385"/>
      <c r="I114" s="385"/>
      <c r="J114" s="385"/>
      <c r="K114" s="385"/>
      <c r="L114" s="385"/>
      <c r="M114" s="385"/>
      <c r="N114" s="385"/>
      <c r="O114" s="385"/>
      <c r="P114" s="385"/>
      <c r="Q114" s="385"/>
    </row>
    <row r="115" spans="2:17" x14ac:dyDescent="0.25">
      <c r="B115" s="388"/>
      <c r="C115" s="384"/>
      <c r="D115" s="776"/>
      <c r="G115" s="385"/>
      <c r="H115" s="385"/>
      <c r="I115" s="385"/>
      <c r="J115" s="385"/>
      <c r="K115" s="385"/>
      <c r="L115" s="385"/>
      <c r="M115" s="385"/>
      <c r="N115" s="385"/>
      <c r="O115" s="385"/>
      <c r="P115" s="385"/>
      <c r="Q115" s="385"/>
    </row>
    <row r="116" spans="2:17" x14ac:dyDescent="0.25">
      <c r="B116" s="386"/>
      <c r="C116" s="384"/>
      <c r="D116" s="776"/>
      <c r="G116" s="385"/>
      <c r="H116" s="385"/>
      <c r="I116" s="385"/>
      <c r="J116" s="385"/>
      <c r="K116" s="385"/>
      <c r="L116" s="385"/>
      <c r="M116" s="385"/>
      <c r="N116" s="385"/>
      <c r="O116" s="385"/>
      <c r="P116" s="385"/>
      <c r="Q116" s="385"/>
    </row>
    <row r="117" spans="2:17" x14ac:dyDescent="0.25">
      <c r="B117" s="386"/>
      <c r="C117" s="384"/>
      <c r="D117" s="776"/>
      <c r="G117" s="385"/>
      <c r="H117" s="385"/>
      <c r="I117" s="385"/>
      <c r="J117" s="385"/>
      <c r="K117" s="385"/>
      <c r="L117" s="385"/>
      <c r="M117" s="385"/>
      <c r="N117" s="385"/>
      <c r="O117" s="385"/>
      <c r="P117" s="385"/>
      <c r="Q117" s="385"/>
    </row>
    <row r="118" spans="2:17" x14ac:dyDescent="0.25">
      <c r="B118" s="386"/>
      <c r="C118" s="384"/>
      <c r="D118" s="776"/>
      <c r="G118" s="385"/>
      <c r="H118" s="385"/>
      <c r="I118" s="385"/>
      <c r="J118" s="385"/>
      <c r="K118" s="385"/>
      <c r="L118" s="385"/>
      <c r="M118" s="385"/>
      <c r="N118" s="385"/>
      <c r="O118" s="385"/>
      <c r="P118" s="385"/>
      <c r="Q118" s="385"/>
    </row>
    <row r="119" spans="2:17" x14ac:dyDescent="0.25">
      <c r="B119" s="386"/>
      <c r="C119" s="384"/>
      <c r="D119" s="776"/>
      <c r="G119" s="385"/>
      <c r="H119" s="385"/>
      <c r="I119" s="385"/>
      <c r="J119" s="385"/>
      <c r="K119" s="385"/>
      <c r="L119" s="385"/>
      <c r="M119" s="385"/>
      <c r="N119" s="385"/>
      <c r="O119" s="385"/>
      <c r="P119" s="385"/>
      <c r="Q119" s="385"/>
    </row>
    <row r="120" spans="2:17" x14ac:dyDescent="0.25">
      <c r="B120" s="386"/>
      <c r="C120" s="384"/>
      <c r="D120" s="776"/>
      <c r="G120" s="385"/>
      <c r="H120" s="385"/>
      <c r="I120" s="385"/>
      <c r="J120" s="385"/>
      <c r="K120" s="385"/>
      <c r="L120" s="385"/>
      <c r="M120" s="385"/>
      <c r="N120" s="385"/>
      <c r="O120" s="385"/>
      <c r="P120" s="385"/>
      <c r="Q120" s="385"/>
    </row>
    <row r="121" spans="2:17" x14ac:dyDescent="0.25">
      <c r="B121" s="386"/>
      <c r="C121" s="384"/>
      <c r="D121" s="776"/>
      <c r="G121" s="385"/>
      <c r="H121" s="385"/>
      <c r="I121" s="385"/>
      <c r="J121" s="385"/>
      <c r="K121" s="385"/>
      <c r="L121" s="385"/>
      <c r="M121" s="385"/>
      <c r="N121" s="385"/>
      <c r="O121" s="385"/>
      <c r="P121" s="385"/>
      <c r="Q121" s="385"/>
    </row>
    <row r="122" spans="2:17" x14ac:dyDescent="0.25">
      <c r="B122" s="386"/>
      <c r="C122" s="384"/>
      <c r="D122" s="776"/>
      <c r="G122" s="385"/>
      <c r="H122" s="385"/>
      <c r="I122" s="385"/>
      <c r="J122" s="385"/>
      <c r="K122" s="385"/>
      <c r="L122" s="385"/>
      <c r="M122" s="385"/>
      <c r="N122" s="385"/>
      <c r="O122" s="385"/>
      <c r="P122" s="385"/>
      <c r="Q122" s="385"/>
    </row>
    <row r="123" spans="2:17" x14ac:dyDescent="0.25">
      <c r="B123" s="386"/>
      <c r="C123" s="384"/>
      <c r="D123" s="776"/>
      <c r="G123" s="385"/>
      <c r="H123" s="385"/>
      <c r="I123" s="385"/>
      <c r="J123" s="385"/>
      <c r="K123" s="385"/>
      <c r="L123" s="385"/>
      <c r="M123" s="385"/>
      <c r="N123" s="385"/>
      <c r="O123" s="385"/>
      <c r="P123" s="385"/>
      <c r="Q123" s="385"/>
    </row>
    <row r="124" spans="2:17" x14ac:dyDescent="0.25">
      <c r="B124" s="389"/>
      <c r="C124" s="384"/>
      <c r="D124" s="776"/>
      <c r="G124" s="385"/>
      <c r="H124" s="385"/>
      <c r="I124" s="385"/>
      <c r="J124" s="385"/>
      <c r="K124" s="385"/>
      <c r="L124" s="385"/>
      <c r="M124" s="385"/>
      <c r="N124" s="385"/>
      <c r="O124" s="385"/>
      <c r="P124" s="385"/>
      <c r="Q124" s="385"/>
    </row>
    <row r="125" spans="2:17" x14ac:dyDescent="0.25">
      <c r="C125" s="384"/>
      <c r="D125" s="776"/>
      <c r="G125" s="385"/>
      <c r="H125" s="385"/>
      <c r="I125" s="385"/>
      <c r="J125" s="385"/>
      <c r="K125" s="385"/>
      <c r="L125" s="385"/>
      <c r="M125" s="385"/>
      <c r="N125" s="385"/>
      <c r="O125" s="385"/>
      <c r="P125" s="385"/>
      <c r="Q125" s="385"/>
    </row>
    <row r="126" spans="2:17" x14ac:dyDescent="0.25">
      <c r="B126" s="389"/>
      <c r="C126" s="384"/>
      <c r="D126" s="776"/>
      <c r="G126" s="385"/>
      <c r="H126" s="385"/>
      <c r="I126" s="385"/>
      <c r="J126" s="385"/>
      <c r="K126" s="385"/>
      <c r="L126" s="385"/>
      <c r="M126" s="385"/>
      <c r="N126" s="385"/>
      <c r="O126" s="385"/>
      <c r="P126" s="385"/>
      <c r="Q126" s="385"/>
    </row>
    <row r="127" spans="2:17" x14ac:dyDescent="0.25">
      <c r="C127" s="384"/>
      <c r="D127" s="776"/>
      <c r="G127" s="385"/>
      <c r="H127" s="385"/>
      <c r="I127" s="385"/>
      <c r="J127" s="385"/>
      <c r="K127" s="385"/>
      <c r="L127" s="385"/>
      <c r="M127" s="385"/>
      <c r="N127" s="385"/>
      <c r="O127" s="385"/>
      <c r="P127" s="385"/>
      <c r="Q127" s="385"/>
    </row>
    <row r="128" spans="2:17" x14ac:dyDescent="0.25">
      <c r="B128" s="386"/>
      <c r="C128" s="384"/>
      <c r="D128" s="776"/>
      <c r="G128" s="385"/>
      <c r="H128" s="385"/>
      <c r="I128" s="385"/>
      <c r="J128" s="385"/>
      <c r="K128" s="385"/>
      <c r="L128" s="385"/>
      <c r="M128" s="385"/>
      <c r="N128" s="385"/>
      <c r="O128" s="385"/>
      <c r="P128" s="385"/>
      <c r="Q128" s="385"/>
    </row>
    <row r="129" spans="2:17" x14ac:dyDescent="0.25">
      <c r="B129" s="386"/>
      <c r="C129" s="384"/>
      <c r="D129" s="776"/>
      <c r="G129" s="385"/>
      <c r="H129" s="385"/>
      <c r="I129" s="385"/>
      <c r="J129" s="385"/>
      <c r="K129" s="385"/>
      <c r="L129" s="385"/>
      <c r="M129" s="385"/>
      <c r="N129" s="385"/>
      <c r="O129" s="385"/>
      <c r="P129" s="385"/>
      <c r="Q129" s="385"/>
    </row>
    <row r="130" spans="2:17" x14ac:dyDescent="0.25">
      <c r="B130" s="386"/>
      <c r="C130" s="384"/>
      <c r="D130" s="776"/>
      <c r="G130" s="385"/>
      <c r="H130" s="385"/>
      <c r="I130" s="385"/>
      <c r="J130" s="385"/>
      <c r="K130" s="385"/>
      <c r="L130" s="385"/>
      <c r="M130" s="385"/>
      <c r="N130" s="385"/>
      <c r="O130" s="385"/>
      <c r="P130" s="385"/>
      <c r="Q130" s="385"/>
    </row>
    <row r="131" spans="2:17" x14ac:dyDescent="0.25">
      <c r="B131" s="389"/>
      <c r="C131" s="384"/>
      <c r="D131" s="776"/>
      <c r="G131" s="385"/>
      <c r="H131" s="385"/>
      <c r="I131" s="385"/>
      <c r="J131" s="385"/>
      <c r="K131" s="385"/>
      <c r="L131" s="385"/>
      <c r="M131" s="385"/>
      <c r="N131" s="385"/>
      <c r="O131" s="385"/>
      <c r="P131" s="385"/>
      <c r="Q131" s="385"/>
    </row>
    <row r="132" spans="2:17" x14ac:dyDescent="0.25">
      <c r="C132" s="384"/>
      <c r="D132" s="776"/>
      <c r="G132" s="385"/>
      <c r="H132" s="385"/>
      <c r="I132" s="385"/>
      <c r="J132" s="385"/>
      <c r="K132" s="385"/>
      <c r="L132" s="385"/>
      <c r="M132" s="385"/>
      <c r="N132" s="385"/>
      <c r="O132" s="385"/>
      <c r="P132" s="385"/>
      <c r="Q132" s="385"/>
    </row>
    <row r="133" spans="2:17" x14ac:dyDescent="0.25">
      <c r="B133" s="386"/>
      <c r="C133" s="384"/>
      <c r="D133" s="776"/>
      <c r="G133" s="385"/>
      <c r="H133" s="385"/>
      <c r="I133" s="385"/>
      <c r="J133" s="385"/>
      <c r="K133" s="385"/>
      <c r="L133" s="385"/>
      <c r="M133" s="385"/>
      <c r="N133" s="385"/>
      <c r="O133" s="385"/>
      <c r="P133" s="385"/>
      <c r="Q133" s="385"/>
    </row>
    <row r="134" spans="2:17" x14ac:dyDescent="0.25">
      <c r="B134" s="386"/>
      <c r="C134" s="384"/>
      <c r="D134" s="776"/>
      <c r="G134" s="385"/>
      <c r="H134" s="385"/>
      <c r="I134" s="385"/>
      <c r="J134" s="385"/>
      <c r="K134" s="385"/>
      <c r="L134" s="385"/>
      <c r="M134" s="385"/>
      <c r="N134" s="385"/>
      <c r="O134" s="385"/>
      <c r="P134" s="385"/>
      <c r="Q134" s="385"/>
    </row>
    <row r="135" spans="2:17" x14ac:dyDescent="0.25">
      <c r="B135" s="389"/>
      <c r="C135" s="384"/>
      <c r="D135" s="776"/>
      <c r="G135" s="385"/>
      <c r="H135" s="385"/>
      <c r="I135" s="385"/>
      <c r="J135" s="385"/>
      <c r="K135" s="385"/>
      <c r="L135" s="385"/>
      <c r="M135" s="385"/>
      <c r="N135" s="385"/>
      <c r="O135" s="385"/>
      <c r="P135" s="385"/>
      <c r="Q135" s="385"/>
    </row>
    <row r="136" spans="2:17" x14ac:dyDescent="0.25">
      <c r="C136" s="384"/>
      <c r="D136" s="776"/>
      <c r="G136" s="385"/>
      <c r="H136" s="385"/>
      <c r="I136" s="385"/>
      <c r="J136" s="385"/>
      <c r="K136" s="385"/>
      <c r="L136" s="385"/>
      <c r="M136" s="385"/>
      <c r="N136" s="385"/>
      <c r="O136" s="385"/>
      <c r="P136" s="385"/>
      <c r="Q136" s="385"/>
    </row>
    <row r="137" spans="2:17" x14ac:dyDescent="0.25">
      <c r="B137" s="388"/>
      <c r="C137" s="390"/>
      <c r="D137" s="777"/>
      <c r="G137" s="385"/>
      <c r="H137" s="385"/>
      <c r="I137" s="385"/>
      <c r="J137" s="385"/>
      <c r="K137" s="385"/>
      <c r="L137" s="385"/>
      <c r="M137" s="385"/>
      <c r="N137" s="385"/>
      <c r="O137" s="385"/>
      <c r="P137" s="385"/>
      <c r="Q137" s="385"/>
    </row>
    <row r="138" spans="2:17" x14ac:dyDescent="0.25">
      <c r="B138" s="389"/>
      <c r="C138" s="384"/>
      <c r="D138" s="776"/>
      <c r="G138" s="385"/>
      <c r="H138" s="385"/>
      <c r="I138" s="385"/>
      <c r="J138" s="385"/>
      <c r="K138" s="385"/>
      <c r="L138" s="385"/>
      <c r="M138" s="385"/>
      <c r="N138" s="385"/>
      <c r="O138" s="385"/>
      <c r="P138" s="385"/>
      <c r="Q138" s="385"/>
    </row>
    <row r="139" spans="2:17" x14ac:dyDescent="0.25">
      <c r="B139" s="389"/>
      <c r="C139" s="384"/>
      <c r="D139" s="776"/>
      <c r="G139" s="385"/>
      <c r="H139" s="385"/>
      <c r="I139" s="385"/>
      <c r="J139" s="385"/>
      <c r="K139" s="385"/>
      <c r="L139" s="385"/>
      <c r="M139" s="385"/>
      <c r="N139" s="385"/>
      <c r="O139" s="385"/>
      <c r="P139" s="385"/>
      <c r="Q139" s="385"/>
    </row>
    <row r="140" spans="2:17" x14ac:dyDescent="0.25">
      <c r="C140" s="384"/>
      <c r="D140" s="776"/>
      <c r="G140" s="385"/>
      <c r="H140" s="385"/>
      <c r="I140" s="385"/>
      <c r="J140" s="385"/>
      <c r="K140" s="385"/>
      <c r="L140" s="385"/>
      <c r="M140" s="385"/>
      <c r="N140" s="385"/>
      <c r="O140" s="385"/>
      <c r="P140" s="385"/>
      <c r="Q140" s="385"/>
    </row>
    <row r="141" spans="2:17" x14ac:dyDescent="0.25">
      <c r="G141" s="385"/>
      <c r="H141" s="385"/>
      <c r="I141" s="385"/>
      <c r="J141" s="385"/>
      <c r="K141" s="385"/>
      <c r="L141" s="385"/>
      <c r="M141" s="385"/>
      <c r="N141" s="385"/>
      <c r="O141" s="385"/>
      <c r="P141" s="385"/>
      <c r="Q141" s="385"/>
    </row>
    <row r="142" spans="2:17" x14ac:dyDescent="0.25">
      <c r="C142" s="390"/>
      <c r="D142" s="777"/>
      <c r="G142" s="391"/>
      <c r="H142" s="391"/>
      <c r="I142" s="391"/>
      <c r="J142" s="391"/>
      <c r="K142" s="391"/>
      <c r="L142" s="391"/>
      <c r="M142" s="391"/>
      <c r="N142" s="391"/>
      <c r="O142" s="391"/>
      <c r="P142" s="391"/>
      <c r="Q142" s="391"/>
    </row>
    <row r="143" spans="2:17" x14ac:dyDescent="0.25">
      <c r="C143" s="390"/>
      <c r="D143" s="777"/>
      <c r="G143" s="391"/>
      <c r="H143" s="391"/>
      <c r="I143" s="391"/>
      <c r="J143" s="391"/>
      <c r="K143" s="391"/>
      <c r="L143" s="391"/>
      <c r="M143" s="391"/>
      <c r="N143" s="391"/>
      <c r="O143" s="391"/>
      <c r="P143" s="391"/>
      <c r="Q143" s="391"/>
    </row>
    <row r="145" spans="1:17" x14ac:dyDescent="0.25">
      <c r="A145" s="381"/>
      <c r="C145" s="381"/>
      <c r="D145" s="775"/>
      <c r="E145" s="382"/>
    </row>
    <row r="146" spans="1:17" x14ac:dyDescent="0.25">
      <c r="B146" s="386"/>
      <c r="C146" s="384"/>
      <c r="D146" s="776"/>
      <c r="E146" s="380"/>
      <c r="G146" s="385"/>
      <c r="H146" s="385"/>
      <c r="I146" s="385"/>
      <c r="J146" s="385"/>
      <c r="K146" s="385"/>
      <c r="L146" s="385"/>
      <c r="M146" s="385"/>
      <c r="N146" s="385"/>
      <c r="O146" s="385"/>
      <c r="P146" s="385"/>
      <c r="Q146" s="385"/>
    </row>
    <row r="147" spans="1:17" x14ac:dyDescent="0.25">
      <c r="B147" s="386"/>
      <c r="C147" s="384"/>
      <c r="D147" s="776"/>
      <c r="E147" s="380"/>
      <c r="F147" s="380"/>
      <c r="G147" s="387"/>
      <c r="H147" s="387"/>
      <c r="I147" s="387"/>
      <c r="J147" s="387"/>
      <c r="K147" s="387"/>
      <c r="L147" s="387"/>
      <c r="M147" s="387"/>
      <c r="N147" s="387"/>
      <c r="O147" s="387"/>
      <c r="P147" s="387"/>
      <c r="Q147" s="387"/>
    </row>
    <row r="148" spans="1:17" x14ac:dyDescent="0.25">
      <c r="B148" s="386"/>
      <c r="C148" s="384"/>
      <c r="D148" s="776"/>
      <c r="G148" s="385"/>
      <c r="H148" s="385"/>
      <c r="I148" s="385"/>
      <c r="J148" s="385"/>
      <c r="K148" s="385"/>
      <c r="L148" s="385"/>
      <c r="M148" s="385"/>
      <c r="N148" s="385"/>
      <c r="O148" s="385"/>
      <c r="P148" s="385"/>
      <c r="Q148" s="385"/>
    </row>
    <row r="149" spans="1:17" x14ac:dyDescent="0.25">
      <c r="B149" s="386"/>
      <c r="C149" s="384"/>
      <c r="D149" s="776"/>
      <c r="G149" s="385"/>
      <c r="H149" s="385"/>
      <c r="I149" s="385"/>
      <c r="J149" s="385"/>
      <c r="K149" s="385"/>
      <c r="L149" s="385"/>
      <c r="M149" s="385"/>
      <c r="N149" s="385"/>
      <c r="O149" s="385"/>
      <c r="P149" s="385"/>
      <c r="Q149" s="385"/>
    </row>
    <row r="150" spans="1:17" x14ac:dyDescent="0.25">
      <c r="B150" s="386"/>
      <c r="C150" s="384"/>
      <c r="D150" s="776"/>
      <c r="G150" s="385"/>
      <c r="H150" s="385"/>
      <c r="I150" s="385"/>
      <c r="J150" s="385"/>
      <c r="K150" s="385"/>
      <c r="L150" s="385"/>
      <c r="M150" s="385"/>
      <c r="N150" s="385"/>
      <c r="O150" s="385"/>
      <c r="P150" s="385"/>
      <c r="Q150" s="385"/>
    </row>
    <row r="151" spans="1:17" x14ac:dyDescent="0.25">
      <c r="B151" s="386"/>
      <c r="C151" s="384"/>
      <c r="D151" s="776"/>
      <c r="G151" s="385"/>
      <c r="H151" s="385"/>
      <c r="I151" s="385"/>
      <c r="J151" s="385"/>
      <c r="K151" s="385"/>
      <c r="L151" s="385"/>
      <c r="M151" s="385"/>
      <c r="N151" s="385"/>
      <c r="O151" s="385"/>
      <c r="P151" s="385"/>
      <c r="Q151" s="385"/>
    </row>
    <row r="152" spans="1:17" x14ac:dyDescent="0.25">
      <c r="B152" s="388"/>
      <c r="C152" s="384"/>
      <c r="D152" s="776"/>
      <c r="G152" s="385"/>
      <c r="H152" s="385"/>
      <c r="I152" s="385"/>
      <c r="J152" s="385"/>
      <c r="K152" s="385"/>
      <c r="L152" s="385"/>
      <c r="M152" s="385"/>
      <c r="N152" s="385"/>
      <c r="O152" s="385"/>
      <c r="P152" s="385"/>
      <c r="Q152" s="385"/>
    </row>
    <row r="153" spans="1:17" x14ac:dyDescent="0.25">
      <c r="C153" s="384"/>
      <c r="D153" s="776"/>
      <c r="G153" s="385"/>
      <c r="H153" s="385"/>
      <c r="I153" s="385"/>
      <c r="J153" s="385"/>
      <c r="K153" s="385"/>
      <c r="L153" s="385"/>
      <c r="M153" s="385"/>
      <c r="N153" s="385"/>
      <c r="O153" s="385"/>
      <c r="P153" s="385"/>
      <c r="Q153" s="385"/>
    </row>
    <row r="154" spans="1:17" x14ac:dyDescent="0.25">
      <c r="B154" s="386"/>
      <c r="C154" s="384"/>
      <c r="D154" s="776"/>
      <c r="G154" s="385"/>
      <c r="H154" s="385"/>
      <c r="I154" s="385"/>
      <c r="J154" s="385"/>
      <c r="K154" s="385"/>
      <c r="L154" s="385"/>
      <c r="M154" s="385"/>
      <c r="N154" s="385"/>
      <c r="O154" s="385"/>
      <c r="P154" s="385"/>
      <c r="Q154" s="385"/>
    </row>
    <row r="155" spans="1:17" x14ac:dyDescent="0.25">
      <c r="B155" s="386"/>
      <c r="C155" s="384"/>
      <c r="D155" s="776"/>
      <c r="G155" s="385"/>
      <c r="H155" s="385"/>
      <c r="I155" s="385"/>
      <c r="J155" s="385"/>
      <c r="K155" s="385"/>
      <c r="L155" s="385"/>
      <c r="M155" s="385"/>
      <c r="N155" s="385"/>
      <c r="O155" s="385"/>
      <c r="P155" s="385"/>
      <c r="Q155" s="385"/>
    </row>
    <row r="156" spans="1:17" x14ac:dyDescent="0.25">
      <c r="B156" s="386"/>
      <c r="C156" s="384"/>
      <c r="D156" s="776"/>
      <c r="G156" s="385"/>
      <c r="H156" s="385"/>
      <c r="I156" s="385"/>
      <c r="J156" s="385"/>
      <c r="K156" s="385"/>
      <c r="L156" s="385"/>
      <c r="M156" s="385"/>
      <c r="N156" s="385"/>
      <c r="O156" s="385"/>
      <c r="P156" s="385"/>
      <c r="Q156" s="385"/>
    </row>
    <row r="157" spans="1:17" x14ac:dyDescent="0.25">
      <c r="B157" s="386"/>
      <c r="C157" s="384"/>
      <c r="D157" s="776"/>
      <c r="G157" s="385"/>
      <c r="H157" s="385"/>
      <c r="I157" s="385"/>
      <c r="J157" s="385"/>
      <c r="K157" s="385"/>
      <c r="L157" s="385"/>
      <c r="M157" s="385"/>
      <c r="N157" s="385"/>
      <c r="O157" s="385"/>
      <c r="P157" s="385"/>
      <c r="Q157" s="385"/>
    </row>
    <row r="158" spans="1:17" x14ac:dyDescent="0.25">
      <c r="C158" s="384"/>
      <c r="D158" s="776"/>
      <c r="G158" s="385"/>
      <c r="H158" s="385"/>
      <c r="I158" s="385"/>
      <c r="J158" s="385"/>
      <c r="K158" s="385"/>
      <c r="L158" s="385"/>
      <c r="M158" s="385"/>
      <c r="N158" s="385"/>
      <c r="O158" s="385"/>
      <c r="P158" s="385"/>
      <c r="Q158" s="385"/>
    </row>
    <row r="159" spans="1:17" x14ac:dyDescent="0.25">
      <c r="B159" s="386"/>
      <c r="C159" s="384"/>
      <c r="D159" s="776"/>
      <c r="G159" s="385"/>
      <c r="H159" s="385"/>
      <c r="I159" s="385"/>
      <c r="J159" s="385"/>
      <c r="K159" s="385"/>
      <c r="L159" s="385"/>
      <c r="M159" s="385"/>
      <c r="N159" s="385"/>
      <c r="O159" s="385"/>
      <c r="P159" s="385"/>
      <c r="Q159" s="385"/>
    </row>
    <row r="160" spans="1:17" x14ac:dyDescent="0.25">
      <c r="B160" s="386"/>
      <c r="C160" s="384"/>
      <c r="D160" s="776"/>
      <c r="G160" s="385"/>
      <c r="H160" s="385"/>
      <c r="I160" s="385"/>
      <c r="J160" s="385"/>
      <c r="K160" s="385"/>
      <c r="L160" s="385"/>
      <c r="M160" s="385"/>
      <c r="N160" s="385"/>
      <c r="O160" s="385"/>
      <c r="P160" s="385"/>
      <c r="Q160" s="385"/>
    </row>
    <row r="161" spans="2:17" x14ac:dyDescent="0.25">
      <c r="B161" s="386"/>
      <c r="C161" s="384"/>
      <c r="D161" s="776"/>
      <c r="G161" s="385"/>
      <c r="H161" s="385"/>
      <c r="I161" s="385"/>
      <c r="J161" s="385"/>
      <c r="K161" s="385"/>
      <c r="L161" s="385"/>
      <c r="M161" s="385"/>
      <c r="N161" s="385"/>
      <c r="O161" s="385"/>
      <c r="P161" s="385"/>
      <c r="Q161" s="385"/>
    </row>
    <row r="162" spans="2:17" x14ac:dyDescent="0.25">
      <c r="B162" s="388"/>
      <c r="C162" s="384"/>
      <c r="D162" s="776"/>
      <c r="G162" s="385"/>
      <c r="H162" s="385"/>
      <c r="I162" s="385"/>
      <c r="J162" s="385"/>
      <c r="K162" s="385"/>
      <c r="L162" s="385"/>
      <c r="M162" s="385"/>
      <c r="N162" s="385"/>
      <c r="O162" s="385"/>
      <c r="P162" s="385"/>
      <c r="Q162" s="385"/>
    </row>
    <row r="163" spans="2:17" x14ac:dyDescent="0.25">
      <c r="B163" s="386"/>
      <c r="C163" s="384"/>
      <c r="D163" s="776"/>
      <c r="G163" s="385"/>
      <c r="H163" s="385"/>
      <c r="I163" s="385"/>
      <c r="J163" s="385"/>
      <c r="K163" s="385"/>
      <c r="L163" s="385"/>
      <c r="M163" s="385"/>
      <c r="N163" s="385"/>
      <c r="O163" s="385"/>
      <c r="P163" s="385"/>
      <c r="Q163" s="385"/>
    </row>
    <row r="164" spans="2:17" x14ac:dyDescent="0.25">
      <c r="B164" s="386"/>
      <c r="C164" s="384"/>
      <c r="D164" s="776"/>
      <c r="G164" s="385"/>
      <c r="H164" s="385"/>
      <c r="I164" s="385"/>
      <c r="J164" s="385"/>
      <c r="K164" s="385"/>
      <c r="L164" s="385"/>
      <c r="M164" s="385"/>
      <c r="N164" s="385"/>
      <c r="O164" s="385"/>
      <c r="P164" s="385"/>
      <c r="Q164" s="385"/>
    </row>
    <row r="165" spans="2:17" x14ac:dyDescent="0.25">
      <c r="B165" s="386"/>
      <c r="C165" s="384"/>
      <c r="D165" s="776"/>
      <c r="G165" s="385"/>
      <c r="H165" s="385"/>
      <c r="I165" s="385"/>
      <c r="J165" s="385"/>
      <c r="K165" s="385"/>
      <c r="L165" s="385"/>
      <c r="M165" s="385"/>
      <c r="N165" s="385"/>
      <c r="O165" s="385"/>
      <c r="P165" s="385"/>
      <c r="Q165" s="385"/>
    </row>
    <row r="166" spans="2:17" x14ac:dyDescent="0.25">
      <c r="B166" s="386"/>
      <c r="C166" s="384"/>
      <c r="D166" s="776"/>
      <c r="G166" s="385"/>
      <c r="H166" s="385"/>
      <c r="I166" s="385"/>
      <c r="J166" s="385"/>
      <c r="K166" s="385"/>
      <c r="L166" s="385"/>
      <c r="M166" s="385"/>
      <c r="N166" s="385"/>
      <c r="O166" s="385"/>
      <c r="P166" s="385"/>
      <c r="Q166" s="385"/>
    </row>
    <row r="167" spans="2:17" x14ac:dyDescent="0.25">
      <c r="B167" s="386"/>
      <c r="C167" s="384"/>
      <c r="D167" s="776"/>
      <c r="G167" s="385"/>
      <c r="H167" s="385"/>
      <c r="I167" s="385"/>
      <c r="J167" s="385"/>
      <c r="K167" s="385"/>
      <c r="L167" s="385"/>
      <c r="M167" s="385"/>
      <c r="N167" s="385"/>
      <c r="O167" s="385"/>
      <c r="P167" s="385"/>
      <c r="Q167" s="385"/>
    </row>
    <row r="168" spans="2:17" x14ac:dyDescent="0.25">
      <c r="B168" s="386"/>
      <c r="C168" s="384"/>
      <c r="D168" s="776"/>
      <c r="G168" s="385"/>
      <c r="H168" s="385"/>
      <c r="I168" s="385"/>
      <c r="J168" s="385"/>
      <c r="K168" s="385"/>
      <c r="L168" s="385"/>
      <c r="M168" s="385"/>
      <c r="N168" s="385"/>
      <c r="O168" s="385"/>
      <c r="P168" s="385"/>
      <c r="Q168" s="385"/>
    </row>
    <row r="169" spans="2:17" x14ac:dyDescent="0.25">
      <c r="B169" s="386"/>
      <c r="C169" s="384"/>
      <c r="D169" s="776"/>
      <c r="G169" s="385"/>
      <c r="H169" s="385"/>
      <c r="I169" s="385"/>
      <c r="J169" s="385"/>
      <c r="K169" s="385"/>
      <c r="L169" s="385"/>
      <c r="M169" s="385"/>
      <c r="N169" s="385"/>
      <c r="O169" s="385"/>
      <c r="P169" s="385"/>
      <c r="Q169" s="385"/>
    </row>
    <row r="170" spans="2:17" x14ac:dyDescent="0.25">
      <c r="B170" s="386"/>
      <c r="C170" s="384"/>
      <c r="D170" s="776"/>
      <c r="G170" s="385"/>
      <c r="H170" s="385"/>
      <c r="I170" s="385"/>
      <c r="J170" s="385"/>
      <c r="K170" s="385"/>
      <c r="L170" s="385"/>
      <c r="M170" s="385"/>
      <c r="N170" s="385"/>
      <c r="O170" s="385"/>
      <c r="P170" s="385"/>
      <c r="Q170" s="385"/>
    </row>
    <row r="171" spans="2:17" x14ac:dyDescent="0.25">
      <c r="B171" s="389"/>
      <c r="C171" s="384"/>
      <c r="D171" s="776"/>
      <c r="G171" s="385"/>
      <c r="H171" s="385"/>
      <c r="I171" s="385"/>
      <c r="J171" s="385"/>
      <c r="K171" s="385"/>
      <c r="L171" s="385"/>
      <c r="M171" s="385"/>
      <c r="N171" s="385"/>
      <c r="O171" s="385"/>
      <c r="P171" s="385"/>
      <c r="Q171" s="385"/>
    </row>
    <row r="172" spans="2:17" x14ac:dyDescent="0.25">
      <c r="C172" s="384"/>
      <c r="D172" s="776"/>
      <c r="G172" s="385"/>
      <c r="H172" s="385"/>
      <c r="I172" s="385"/>
      <c r="J172" s="385"/>
      <c r="K172" s="385"/>
      <c r="L172" s="385"/>
      <c r="M172" s="385"/>
      <c r="N172" s="385"/>
      <c r="O172" s="385"/>
      <c r="P172" s="385"/>
      <c r="Q172" s="385"/>
    </row>
    <row r="173" spans="2:17" x14ac:dyDescent="0.25">
      <c r="B173" s="389"/>
      <c r="C173" s="384"/>
      <c r="D173" s="776"/>
      <c r="G173" s="385"/>
      <c r="H173" s="385"/>
      <c r="I173" s="385"/>
      <c r="J173" s="385"/>
      <c r="K173" s="385"/>
      <c r="L173" s="385"/>
      <c r="M173" s="385"/>
      <c r="N173" s="385"/>
      <c r="O173" s="385"/>
      <c r="P173" s="385"/>
      <c r="Q173" s="385"/>
    </row>
    <row r="174" spans="2:17" x14ac:dyDescent="0.25">
      <c r="C174" s="384"/>
      <c r="D174" s="776"/>
      <c r="G174" s="385"/>
      <c r="H174" s="385"/>
      <c r="I174" s="385"/>
      <c r="J174" s="385"/>
      <c r="K174" s="385"/>
      <c r="L174" s="385"/>
      <c r="M174" s="385"/>
      <c r="N174" s="385"/>
      <c r="O174" s="385"/>
      <c r="P174" s="385"/>
      <c r="Q174" s="385"/>
    </row>
    <row r="175" spans="2:17" x14ac:dyDescent="0.25">
      <c r="B175" s="386"/>
      <c r="C175" s="384"/>
      <c r="D175" s="776"/>
      <c r="G175" s="385"/>
      <c r="H175" s="385"/>
      <c r="I175" s="385"/>
      <c r="J175" s="385"/>
      <c r="K175" s="385"/>
      <c r="L175" s="385"/>
      <c r="M175" s="385"/>
      <c r="N175" s="385"/>
      <c r="O175" s="385"/>
      <c r="P175" s="385"/>
      <c r="Q175" s="385"/>
    </row>
    <row r="176" spans="2:17" x14ac:dyDescent="0.25">
      <c r="B176" s="386"/>
      <c r="C176" s="384"/>
      <c r="D176" s="776"/>
      <c r="G176" s="385"/>
      <c r="H176" s="385"/>
      <c r="I176" s="385"/>
      <c r="J176" s="385"/>
      <c r="K176" s="385"/>
      <c r="L176" s="385"/>
      <c r="M176" s="385"/>
      <c r="N176" s="385"/>
      <c r="O176" s="385"/>
      <c r="P176" s="385"/>
      <c r="Q176" s="385"/>
    </row>
    <row r="177" spans="1:17" x14ac:dyDescent="0.25">
      <c r="B177" s="386"/>
      <c r="C177" s="384"/>
      <c r="D177" s="776"/>
      <c r="G177" s="385"/>
      <c r="H177" s="385"/>
      <c r="I177" s="385"/>
      <c r="J177" s="385"/>
      <c r="K177" s="385"/>
      <c r="L177" s="385"/>
      <c r="M177" s="385"/>
      <c r="N177" s="385"/>
      <c r="O177" s="385"/>
      <c r="P177" s="385"/>
      <c r="Q177" s="385"/>
    </row>
    <row r="178" spans="1:17" x14ac:dyDescent="0.25">
      <c r="B178" s="389"/>
      <c r="C178" s="384"/>
      <c r="D178" s="776"/>
      <c r="G178" s="385"/>
      <c r="H178" s="385"/>
      <c r="I178" s="385"/>
      <c r="J178" s="385"/>
      <c r="K178" s="385"/>
      <c r="L178" s="385"/>
      <c r="M178" s="385"/>
      <c r="N178" s="385"/>
      <c r="O178" s="385"/>
      <c r="P178" s="385"/>
      <c r="Q178" s="385"/>
    </row>
    <row r="179" spans="1:17" x14ac:dyDescent="0.25">
      <c r="C179" s="384"/>
      <c r="D179" s="776"/>
      <c r="G179" s="385"/>
      <c r="H179" s="385"/>
      <c r="I179" s="385"/>
      <c r="J179" s="385"/>
      <c r="K179" s="385"/>
      <c r="L179" s="385"/>
      <c r="M179" s="385"/>
      <c r="N179" s="385"/>
      <c r="O179" s="385"/>
      <c r="P179" s="385"/>
      <c r="Q179" s="385"/>
    </row>
    <row r="180" spans="1:17" x14ac:dyDescent="0.25">
      <c r="B180" s="386"/>
      <c r="C180" s="384"/>
      <c r="D180" s="776"/>
      <c r="G180" s="385"/>
      <c r="H180" s="385"/>
      <c r="I180" s="385"/>
      <c r="J180" s="385"/>
      <c r="K180" s="385"/>
      <c r="L180" s="385"/>
      <c r="M180" s="385"/>
      <c r="N180" s="385"/>
      <c r="O180" s="385"/>
      <c r="P180" s="385"/>
      <c r="Q180" s="385"/>
    </row>
    <row r="181" spans="1:17" x14ac:dyDescent="0.25">
      <c r="B181" s="386"/>
      <c r="C181" s="384"/>
      <c r="D181" s="776"/>
      <c r="G181" s="385"/>
      <c r="H181" s="385"/>
      <c r="I181" s="385"/>
      <c r="J181" s="385"/>
      <c r="K181" s="385"/>
      <c r="L181" s="385"/>
      <c r="M181" s="385"/>
      <c r="N181" s="385"/>
      <c r="O181" s="385"/>
      <c r="P181" s="385"/>
      <c r="Q181" s="385"/>
    </row>
    <row r="182" spans="1:17" x14ac:dyDescent="0.25">
      <c r="B182" s="389"/>
      <c r="C182" s="384"/>
      <c r="D182" s="776"/>
      <c r="G182" s="385"/>
      <c r="H182" s="385"/>
      <c r="I182" s="385"/>
      <c r="J182" s="385"/>
      <c r="K182" s="385"/>
      <c r="L182" s="385"/>
      <c r="M182" s="385"/>
      <c r="N182" s="385"/>
      <c r="O182" s="385"/>
      <c r="P182" s="385"/>
      <c r="Q182" s="385"/>
    </row>
    <row r="183" spans="1:17" x14ac:dyDescent="0.25">
      <c r="C183" s="384"/>
      <c r="D183" s="776"/>
      <c r="G183" s="385"/>
      <c r="H183" s="385"/>
      <c r="I183" s="385"/>
      <c r="J183" s="385"/>
      <c r="K183" s="385"/>
      <c r="L183" s="385"/>
      <c r="M183" s="385"/>
      <c r="N183" s="385"/>
      <c r="O183" s="385"/>
      <c r="P183" s="385"/>
      <c r="Q183" s="385"/>
    </row>
    <row r="184" spans="1:17" x14ac:dyDescent="0.25">
      <c r="B184" s="388"/>
      <c r="C184" s="390"/>
      <c r="D184" s="777"/>
      <c r="G184" s="385"/>
      <c r="H184" s="385"/>
      <c r="I184" s="385"/>
      <c r="J184" s="385"/>
      <c r="K184" s="385"/>
      <c r="L184" s="385"/>
      <c r="M184" s="385"/>
      <c r="N184" s="385"/>
      <c r="O184" s="385"/>
      <c r="P184" s="385"/>
      <c r="Q184" s="385"/>
    </row>
    <row r="185" spans="1:17" x14ac:dyDescent="0.25">
      <c r="B185" s="389"/>
      <c r="C185" s="384"/>
      <c r="D185" s="776"/>
      <c r="G185" s="385"/>
      <c r="H185" s="385"/>
      <c r="I185" s="385"/>
      <c r="J185" s="385"/>
      <c r="K185" s="385"/>
      <c r="L185" s="385"/>
      <c r="M185" s="385"/>
      <c r="N185" s="385"/>
      <c r="O185" s="385"/>
      <c r="P185" s="385"/>
      <c r="Q185" s="385"/>
    </row>
    <row r="186" spans="1:17" x14ac:dyDescent="0.25">
      <c r="B186" s="389"/>
      <c r="C186" s="384"/>
      <c r="D186" s="776"/>
      <c r="G186" s="385"/>
      <c r="H186" s="385"/>
      <c r="I186" s="385"/>
      <c r="J186" s="385"/>
      <c r="K186" s="385"/>
      <c r="L186" s="385"/>
      <c r="M186" s="385"/>
      <c r="N186" s="385"/>
      <c r="O186" s="385"/>
      <c r="P186" s="385"/>
      <c r="Q186" s="385"/>
    </row>
    <row r="187" spans="1:17" x14ac:dyDescent="0.25">
      <c r="C187" s="390"/>
      <c r="D187" s="777"/>
      <c r="G187" s="385"/>
      <c r="H187" s="385"/>
      <c r="I187" s="385"/>
      <c r="J187" s="385"/>
      <c r="K187" s="385"/>
      <c r="L187" s="385"/>
      <c r="M187" s="385"/>
      <c r="N187" s="385"/>
      <c r="O187" s="385"/>
      <c r="P187" s="385"/>
      <c r="Q187" s="385"/>
    </row>
    <row r="188" spans="1:17" x14ac:dyDescent="0.25">
      <c r="G188" s="385"/>
      <c r="H188" s="385"/>
      <c r="I188" s="385"/>
      <c r="J188" s="385"/>
      <c r="K188" s="385"/>
      <c r="L188" s="385"/>
      <c r="M188" s="385"/>
      <c r="N188" s="385"/>
      <c r="O188" s="385"/>
      <c r="P188" s="385"/>
      <c r="Q188" s="385"/>
    </row>
    <row r="189" spans="1:17" x14ac:dyDescent="0.25">
      <c r="O189" s="391"/>
      <c r="P189" s="391"/>
      <c r="Q189" s="391"/>
    </row>
    <row r="191" spans="1:17" x14ac:dyDescent="0.25">
      <c r="A191" s="381"/>
      <c r="C191" s="381"/>
      <c r="D191" s="775"/>
      <c r="E191" s="382"/>
    </row>
    <row r="192" spans="1:17" x14ac:dyDescent="0.25">
      <c r="B192" s="386"/>
      <c r="C192" s="384"/>
      <c r="D192" s="776"/>
      <c r="E192" s="380"/>
      <c r="G192" s="385"/>
      <c r="H192" s="385"/>
      <c r="I192" s="385"/>
      <c r="J192" s="385"/>
      <c r="K192" s="385"/>
      <c r="L192" s="385"/>
      <c r="M192" s="385"/>
      <c r="N192" s="385"/>
      <c r="O192" s="385"/>
      <c r="P192" s="385"/>
      <c r="Q192" s="385"/>
    </row>
    <row r="193" spans="2:17" x14ac:dyDescent="0.25">
      <c r="B193" s="386"/>
      <c r="C193" s="384"/>
      <c r="D193" s="776"/>
      <c r="E193" s="380"/>
      <c r="F193" s="380"/>
      <c r="G193" s="387"/>
      <c r="H193" s="387"/>
      <c r="I193" s="387"/>
      <c r="J193" s="387"/>
      <c r="K193" s="387"/>
      <c r="L193" s="387"/>
      <c r="M193" s="387"/>
      <c r="N193" s="387"/>
      <c r="O193" s="387"/>
      <c r="P193" s="387"/>
      <c r="Q193" s="387"/>
    </row>
    <row r="194" spans="2:17" x14ac:dyDescent="0.25">
      <c r="B194" s="386"/>
      <c r="C194" s="384"/>
      <c r="D194" s="776"/>
      <c r="G194" s="385"/>
      <c r="H194" s="385"/>
      <c r="I194" s="385"/>
      <c r="J194" s="385"/>
      <c r="K194" s="385"/>
      <c r="L194" s="385"/>
      <c r="M194" s="385"/>
      <c r="N194" s="385"/>
      <c r="O194" s="385"/>
      <c r="P194" s="385"/>
      <c r="Q194" s="385"/>
    </row>
    <row r="195" spans="2:17" x14ac:dyDescent="0.25">
      <c r="B195" s="386"/>
      <c r="C195" s="384"/>
      <c r="D195" s="776"/>
      <c r="G195" s="385"/>
      <c r="H195" s="385"/>
      <c r="I195" s="385"/>
      <c r="J195" s="385"/>
      <c r="K195" s="385"/>
      <c r="L195" s="385"/>
      <c r="M195" s="385"/>
      <c r="N195" s="385"/>
      <c r="O195" s="385"/>
      <c r="P195" s="385"/>
      <c r="Q195" s="385"/>
    </row>
    <row r="196" spans="2:17" x14ac:dyDescent="0.25">
      <c r="B196" s="386"/>
      <c r="C196" s="384"/>
      <c r="D196" s="776"/>
      <c r="G196" s="385"/>
      <c r="H196" s="385"/>
      <c r="I196" s="385"/>
      <c r="J196" s="385"/>
      <c r="K196" s="385"/>
      <c r="L196" s="385"/>
      <c r="M196" s="385"/>
      <c r="N196" s="385"/>
      <c r="O196" s="385"/>
      <c r="P196" s="385"/>
      <c r="Q196" s="385"/>
    </row>
    <row r="197" spans="2:17" x14ac:dyDescent="0.25">
      <c r="B197" s="386"/>
      <c r="C197" s="384"/>
      <c r="D197" s="776"/>
      <c r="G197" s="385"/>
      <c r="H197" s="385"/>
      <c r="I197" s="385"/>
      <c r="J197" s="385"/>
      <c r="K197" s="385"/>
      <c r="L197" s="385"/>
      <c r="M197" s="385"/>
      <c r="N197" s="385"/>
      <c r="O197" s="385"/>
      <c r="P197" s="385"/>
      <c r="Q197" s="385"/>
    </row>
    <row r="198" spans="2:17" x14ac:dyDescent="0.25">
      <c r="B198" s="388"/>
      <c r="C198" s="384"/>
      <c r="D198" s="776"/>
      <c r="G198" s="385"/>
      <c r="H198" s="385"/>
      <c r="I198" s="385"/>
      <c r="J198" s="385"/>
      <c r="K198" s="385"/>
      <c r="L198" s="385"/>
      <c r="M198" s="385"/>
      <c r="N198" s="385"/>
      <c r="O198" s="385"/>
      <c r="P198" s="385"/>
      <c r="Q198" s="385"/>
    </row>
    <row r="199" spans="2:17" x14ac:dyDescent="0.25">
      <c r="C199" s="384"/>
      <c r="D199" s="776"/>
      <c r="G199" s="385"/>
      <c r="H199" s="385"/>
      <c r="I199" s="385"/>
      <c r="J199" s="385"/>
      <c r="K199" s="385"/>
      <c r="L199" s="385"/>
      <c r="M199" s="385"/>
      <c r="N199" s="385"/>
      <c r="O199" s="385"/>
      <c r="P199" s="385"/>
      <c r="Q199" s="385"/>
    </row>
    <row r="200" spans="2:17" x14ac:dyDescent="0.25">
      <c r="B200" s="386"/>
      <c r="C200" s="384"/>
      <c r="D200" s="776"/>
      <c r="G200" s="385"/>
      <c r="H200" s="385"/>
      <c r="I200" s="385"/>
      <c r="J200" s="385"/>
      <c r="K200" s="385"/>
      <c r="L200" s="385"/>
      <c r="M200" s="385"/>
      <c r="N200" s="385"/>
      <c r="O200" s="385"/>
      <c r="P200" s="385"/>
      <c r="Q200" s="385"/>
    </row>
    <row r="201" spans="2:17" x14ac:dyDescent="0.25">
      <c r="B201" s="386"/>
      <c r="C201" s="384"/>
      <c r="D201" s="776"/>
      <c r="G201" s="385"/>
      <c r="H201" s="385"/>
      <c r="I201" s="385"/>
      <c r="J201" s="385"/>
      <c r="K201" s="385"/>
      <c r="L201" s="385"/>
      <c r="M201" s="385"/>
      <c r="N201" s="385"/>
      <c r="O201" s="385"/>
      <c r="P201" s="385"/>
      <c r="Q201" s="385"/>
    </row>
    <row r="202" spans="2:17" x14ac:dyDescent="0.25">
      <c r="B202" s="386"/>
      <c r="C202" s="384"/>
      <c r="D202" s="776"/>
      <c r="G202" s="385"/>
      <c r="H202" s="385"/>
      <c r="I202" s="385"/>
      <c r="J202" s="385"/>
      <c r="K202" s="385"/>
      <c r="L202" s="385"/>
      <c r="M202" s="385"/>
      <c r="N202" s="385"/>
      <c r="O202" s="385"/>
      <c r="P202" s="385"/>
      <c r="Q202" s="385"/>
    </row>
    <row r="203" spans="2:17" x14ac:dyDescent="0.25">
      <c r="B203" s="386"/>
      <c r="C203" s="384"/>
      <c r="D203" s="776"/>
      <c r="G203" s="385"/>
      <c r="H203" s="385"/>
      <c r="I203" s="385"/>
      <c r="J203" s="385"/>
      <c r="K203" s="385"/>
      <c r="L203" s="385"/>
      <c r="M203" s="385"/>
      <c r="N203" s="385"/>
      <c r="O203" s="385"/>
      <c r="P203" s="385"/>
      <c r="Q203" s="385"/>
    </row>
    <row r="204" spans="2:17" x14ac:dyDescent="0.25">
      <c r="C204" s="384"/>
      <c r="D204" s="776"/>
      <c r="G204" s="385"/>
      <c r="H204" s="385"/>
      <c r="I204" s="385"/>
      <c r="J204" s="385"/>
      <c r="K204" s="385"/>
      <c r="L204" s="385"/>
      <c r="M204" s="385"/>
      <c r="N204" s="385"/>
      <c r="O204" s="385"/>
      <c r="P204" s="385"/>
      <c r="Q204" s="385"/>
    </row>
    <row r="205" spans="2:17" x14ac:dyDescent="0.25">
      <c r="B205" s="386"/>
      <c r="C205" s="384"/>
      <c r="D205" s="776"/>
      <c r="G205" s="385"/>
      <c r="H205" s="385"/>
      <c r="I205" s="385"/>
      <c r="J205" s="385"/>
      <c r="K205" s="385"/>
      <c r="L205" s="385"/>
      <c r="M205" s="385"/>
      <c r="N205" s="385"/>
      <c r="O205" s="385"/>
      <c r="P205" s="385"/>
      <c r="Q205" s="385"/>
    </row>
    <row r="206" spans="2:17" x14ac:dyDescent="0.25">
      <c r="B206" s="386"/>
      <c r="C206" s="384"/>
      <c r="D206" s="776"/>
      <c r="G206" s="385"/>
      <c r="H206" s="385"/>
      <c r="I206" s="385"/>
      <c r="J206" s="385"/>
      <c r="K206" s="385"/>
      <c r="L206" s="385"/>
      <c r="M206" s="385"/>
      <c r="N206" s="385"/>
      <c r="O206" s="385"/>
      <c r="P206" s="385"/>
      <c r="Q206" s="385"/>
    </row>
    <row r="207" spans="2:17" x14ac:dyDescent="0.25">
      <c r="B207" s="386"/>
      <c r="C207" s="384"/>
      <c r="D207" s="776"/>
      <c r="G207" s="385"/>
      <c r="H207" s="385"/>
      <c r="I207" s="385"/>
      <c r="J207" s="385"/>
      <c r="K207" s="385"/>
      <c r="L207" s="385"/>
      <c r="M207" s="385"/>
      <c r="N207" s="385"/>
      <c r="O207" s="385"/>
      <c r="P207" s="385"/>
      <c r="Q207" s="385"/>
    </row>
    <row r="208" spans="2:17" x14ac:dyDescent="0.25">
      <c r="B208" s="388"/>
      <c r="C208" s="384"/>
      <c r="D208" s="776"/>
      <c r="G208" s="385"/>
      <c r="H208" s="385"/>
      <c r="I208" s="385"/>
      <c r="J208" s="385"/>
      <c r="K208" s="385"/>
      <c r="L208" s="385"/>
      <c r="M208" s="385"/>
      <c r="N208" s="385"/>
      <c r="O208" s="385"/>
      <c r="P208" s="385"/>
      <c r="Q208" s="385"/>
    </row>
    <row r="209" spans="2:17" x14ac:dyDescent="0.25">
      <c r="B209" s="386"/>
      <c r="C209" s="384"/>
      <c r="D209" s="776"/>
      <c r="G209" s="385"/>
      <c r="H209" s="385"/>
      <c r="I209" s="385"/>
      <c r="J209" s="385"/>
      <c r="K209" s="385"/>
      <c r="L209" s="385"/>
      <c r="M209" s="385"/>
      <c r="N209" s="385"/>
      <c r="O209" s="385"/>
      <c r="P209" s="385"/>
      <c r="Q209" s="385"/>
    </row>
    <row r="210" spans="2:17" x14ac:dyDescent="0.25">
      <c r="B210" s="386"/>
      <c r="C210" s="384"/>
      <c r="D210" s="776"/>
      <c r="G210" s="385"/>
      <c r="H210" s="385"/>
      <c r="I210" s="385"/>
      <c r="J210" s="385"/>
      <c r="K210" s="385"/>
      <c r="L210" s="385"/>
      <c r="M210" s="385"/>
      <c r="N210" s="385"/>
      <c r="O210" s="385"/>
      <c r="P210" s="385"/>
      <c r="Q210" s="385"/>
    </row>
    <row r="211" spans="2:17" x14ac:dyDescent="0.25">
      <c r="B211" s="386"/>
      <c r="C211" s="384"/>
      <c r="D211" s="776"/>
      <c r="G211" s="385"/>
      <c r="H211" s="385"/>
      <c r="I211" s="385"/>
      <c r="J211" s="385"/>
      <c r="K211" s="385"/>
      <c r="L211" s="385"/>
      <c r="M211" s="385"/>
      <c r="N211" s="385"/>
      <c r="O211" s="385"/>
      <c r="P211" s="385"/>
      <c r="Q211" s="385"/>
    </row>
    <row r="212" spans="2:17" x14ac:dyDescent="0.25">
      <c r="B212" s="386"/>
      <c r="C212" s="384"/>
      <c r="D212" s="776"/>
      <c r="G212" s="385"/>
      <c r="H212" s="385"/>
      <c r="I212" s="385"/>
      <c r="J212" s="385"/>
      <c r="K212" s="385"/>
      <c r="L212" s="385"/>
      <c r="M212" s="385"/>
      <c r="N212" s="385"/>
      <c r="O212" s="385"/>
      <c r="P212" s="385"/>
      <c r="Q212" s="385"/>
    </row>
    <row r="213" spans="2:17" x14ac:dyDescent="0.25">
      <c r="B213" s="386"/>
      <c r="C213" s="384"/>
      <c r="D213" s="776"/>
      <c r="G213" s="385"/>
      <c r="H213" s="385"/>
      <c r="I213" s="385"/>
      <c r="J213" s="385"/>
      <c r="K213" s="385"/>
      <c r="L213" s="385"/>
      <c r="M213" s="385"/>
      <c r="N213" s="385"/>
      <c r="O213" s="385"/>
      <c r="P213" s="385"/>
      <c r="Q213" s="385"/>
    </row>
    <row r="214" spans="2:17" x14ac:dyDescent="0.25">
      <c r="B214" s="386"/>
      <c r="C214" s="384"/>
      <c r="D214" s="776"/>
      <c r="G214" s="385"/>
      <c r="H214" s="385"/>
      <c r="I214" s="385"/>
      <c r="J214" s="385"/>
      <c r="K214" s="385"/>
      <c r="L214" s="385"/>
      <c r="M214" s="385"/>
      <c r="N214" s="385"/>
      <c r="O214" s="385"/>
      <c r="P214" s="385"/>
      <c r="Q214" s="385"/>
    </row>
    <row r="215" spans="2:17" x14ac:dyDescent="0.25">
      <c r="B215" s="386"/>
      <c r="C215" s="384"/>
      <c r="D215" s="776"/>
      <c r="G215" s="385"/>
      <c r="H215" s="385"/>
      <c r="I215" s="385"/>
      <c r="J215" s="385"/>
      <c r="K215" s="385"/>
      <c r="L215" s="385"/>
      <c r="M215" s="385"/>
      <c r="N215" s="385"/>
      <c r="O215" s="385"/>
      <c r="P215" s="385"/>
      <c r="Q215" s="385"/>
    </row>
    <row r="216" spans="2:17" x14ac:dyDescent="0.25">
      <c r="B216" s="386"/>
      <c r="C216" s="384"/>
      <c r="D216" s="776"/>
      <c r="G216" s="385"/>
      <c r="H216" s="385"/>
      <c r="I216" s="385"/>
      <c r="J216" s="385"/>
      <c r="K216" s="385"/>
      <c r="L216" s="385"/>
      <c r="M216" s="385"/>
      <c r="N216" s="385"/>
      <c r="O216" s="385"/>
      <c r="P216" s="385"/>
      <c r="Q216" s="385"/>
    </row>
    <row r="217" spans="2:17" x14ac:dyDescent="0.25">
      <c r="B217" s="389"/>
      <c r="C217" s="384"/>
      <c r="D217" s="776"/>
      <c r="G217" s="385"/>
      <c r="H217" s="385"/>
      <c r="I217" s="385"/>
      <c r="J217" s="385"/>
      <c r="K217" s="385"/>
      <c r="L217" s="385"/>
      <c r="M217" s="385"/>
      <c r="N217" s="385"/>
      <c r="O217" s="385"/>
      <c r="P217" s="385"/>
      <c r="Q217" s="385"/>
    </row>
    <row r="218" spans="2:17" x14ac:dyDescent="0.25">
      <c r="C218" s="384"/>
      <c r="D218" s="776"/>
      <c r="G218" s="385"/>
      <c r="H218" s="385"/>
      <c r="I218" s="385"/>
      <c r="J218" s="385"/>
      <c r="K218" s="385"/>
      <c r="L218" s="385"/>
      <c r="M218" s="385"/>
      <c r="N218" s="385"/>
      <c r="O218" s="385"/>
      <c r="P218" s="385"/>
      <c r="Q218" s="385"/>
    </row>
    <row r="219" spans="2:17" x14ac:dyDescent="0.25">
      <c r="B219" s="389"/>
      <c r="C219" s="384"/>
      <c r="D219" s="776"/>
      <c r="G219" s="385"/>
      <c r="H219" s="385"/>
      <c r="I219" s="385"/>
      <c r="J219" s="385"/>
      <c r="K219" s="385"/>
      <c r="L219" s="385"/>
      <c r="M219" s="385"/>
      <c r="N219" s="385"/>
      <c r="O219" s="385"/>
      <c r="P219" s="385"/>
      <c r="Q219" s="385"/>
    </row>
    <row r="220" spans="2:17" x14ac:dyDescent="0.25">
      <c r="C220" s="384"/>
      <c r="D220" s="776"/>
      <c r="G220" s="385"/>
      <c r="H220" s="385"/>
      <c r="I220" s="385"/>
      <c r="J220" s="385"/>
      <c r="K220" s="385"/>
      <c r="L220" s="385"/>
      <c r="M220" s="385"/>
      <c r="N220" s="385"/>
      <c r="O220" s="385"/>
      <c r="P220" s="385"/>
      <c r="Q220" s="385"/>
    </row>
    <row r="221" spans="2:17" x14ac:dyDescent="0.25">
      <c r="B221" s="386"/>
      <c r="C221" s="384"/>
      <c r="D221" s="776"/>
      <c r="G221" s="385"/>
      <c r="H221" s="385"/>
      <c r="I221" s="385"/>
      <c r="J221" s="385"/>
      <c r="K221" s="385"/>
      <c r="L221" s="385"/>
      <c r="M221" s="385"/>
      <c r="N221" s="385"/>
      <c r="O221" s="385"/>
      <c r="P221" s="385"/>
      <c r="Q221" s="385"/>
    </row>
    <row r="222" spans="2:17" x14ac:dyDescent="0.25">
      <c r="B222" s="386"/>
      <c r="C222" s="384"/>
      <c r="D222" s="776"/>
      <c r="G222" s="385"/>
      <c r="H222" s="385"/>
      <c r="I222" s="385"/>
      <c r="J222" s="385"/>
      <c r="K222" s="385"/>
      <c r="L222" s="385"/>
      <c r="M222" s="385"/>
      <c r="N222" s="385"/>
      <c r="O222" s="385"/>
      <c r="P222" s="385"/>
      <c r="Q222" s="385"/>
    </row>
    <row r="223" spans="2:17" x14ac:dyDescent="0.25">
      <c r="B223" s="386"/>
      <c r="C223" s="384"/>
      <c r="D223" s="776"/>
      <c r="G223" s="385"/>
      <c r="H223" s="385"/>
      <c r="I223" s="385"/>
      <c r="J223" s="385"/>
      <c r="K223" s="385"/>
      <c r="L223" s="385"/>
      <c r="M223" s="385"/>
      <c r="N223" s="385"/>
      <c r="O223" s="385"/>
      <c r="P223" s="385"/>
      <c r="Q223" s="385"/>
    </row>
    <row r="224" spans="2:17" x14ac:dyDescent="0.25">
      <c r="B224" s="389"/>
      <c r="C224" s="384"/>
      <c r="D224" s="776"/>
      <c r="G224" s="385"/>
      <c r="H224" s="385"/>
      <c r="I224" s="385"/>
      <c r="J224" s="385"/>
      <c r="K224" s="385"/>
      <c r="L224" s="385"/>
      <c r="M224" s="385"/>
      <c r="N224" s="385"/>
      <c r="O224" s="385"/>
      <c r="P224" s="385"/>
      <c r="Q224" s="385"/>
    </row>
    <row r="225" spans="1:17" x14ac:dyDescent="0.25">
      <c r="C225" s="384"/>
      <c r="D225" s="776"/>
      <c r="G225" s="385"/>
      <c r="H225" s="385"/>
      <c r="I225" s="385"/>
      <c r="J225" s="385"/>
      <c r="K225" s="385"/>
      <c r="L225" s="385"/>
      <c r="M225" s="385"/>
      <c r="N225" s="385"/>
      <c r="O225" s="385"/>
      <c r="P225" s="385"/>
      <c r="Q225" s="385"/>
    </row>
    <row r="226" spans="1:17" x14ac:dyDescent="0.25">
      <c r="B226" s="386"/>
      <c r="C226" s="384"/>
      <c r="D226" s="776"/>
      <c r="G226" s="385"/>
      <c r="H226" s="385"/>
      <c r="I226" s="385"/>
      <c r="J226" s="385"/>
      <c r="K226" s="385"/>
      <c r="L226" s="385"/>
      <c r="M226" s="385"/>
      <c r="N226" s="385"/>
      <c r="O226" s="385"/>
      <c r="P226" s="385"/>
      <c r="Q226" s="385"/>
    </row>
    <row r="227" spans="1:17" x14ac:dyDescent="0.25">
      <c r="B227" s="386"/>
      <c r="C227" s="384"/>
      <c r="D227" s="776"/>
      <c r="G227" s="385"/>
      <c r="H227" s="385"/>
      <c r="I227" s="385"/>
      <c r="J227" s="385"/>
      <c r="K227" s="385"/>
      <c r="L227" s="385"/>
      <c r="M227" s="385"/>
      <c r="N227" s="385"/>
      <c r="O227" s="385"/>
      <c r="P227" s="385"/>
      <c r="Q227" s="385"/>
    </row>
    <row r="228" spans="1:17" x14ac:dyDescent="0.25">
      <c r="B228" s="389"/>
      <c r="C228" s="384"/>
      <c r="D228" s="776"/>
      <c r="G228" s="385"/>
      <c r="H228" s="385"/>
      <c r="I228" s="385"/>
      <c r="J228" s="385"/>
      <c r="K228" s="385"/>
      <c r="L228" s="385"/>
      <c r="M228" s="385"/>
      <c r="N228" s="385"/>
      <c r="O228" s="385"/>
      <c r="P228" s="385"/>
      <c r="Q228" s="385"/>
    </row>
    <row r="229" spans="1:17" x14ac:dyDescent="0.25">
      <c r="C229" s="384"/>
      <c r="D229" s="776"/>
      <c r="G229" s="385"/>
      <c r="H229" s="385"/>
      <c r="I229" s="385"/>
      <c r="J229" s="385"/>
      <c r="K229" s="385"/>
      <c r="L229" s="385"/>
      <c r="M229" s="385"/>
      <c r="N229" s="385"/>
      <c r="O229" s="385"/>
      <c r="P229" s="385"/>
      <c r="Q229" s="385"/>
    </row>
    <row r="230" spans="1:17" x14ac:dyDescent="0.25">
      <c r="B230" s="388"/>
      <c r="C230" s="390"/>
      <c r="D230" s="777"/>
      <c r="G230" s="385"/>
      <c r="H230" s="385"/>
      <c r="I230" s="385"/>
      <c r="J230" s="385"/>
      <c r="K230" s="385"/>
      <c r="L230" s="385"/>
      <c r="M230" s="385"/>
      <c r="N230" s="385"/>
      <c r="O230" s="385"/>
      <c r="P230" s="385"/>
      <c r="Q230" s="385"/>
    </row>
    <row r="231" spans="1:17" x14ac:dyDescent="0.25">
      <c r="B231" s="389"/>
      <c r="C231" s="384"/>
      <c r="D231" s="776"/>
      <c r="G231" s="385"/>
      <c r="H231" s="385"/>
      <c r="I231" s="385"/>
      <c r="J231" s="385"/>
      <c r="K231" s="385"/>
      <c r="L231" s="385"/>
      <c r="M231" s="385"/>
      <c r="N231" s="385"/>
      <c r="O231" s="385"/>
      <c r="P231" s="385"/>
      <c r="Q231" s="385"/>
    </row>
    <row r="232" spans="1:17" x14ac:dyDescent="0.25">
      <c r="B232" s="389"/>
      <c r="C232" s="384"/>
      <c r="D232" s="776"/>
      <c r="G232" s="385"/>
      <c r="H232" s="385"/>
      <c r="I232" s="385"/>
      <c r="J232" s="385"/>
      <c r="K232" s="385"/>
      <c r="L232" s="385"/>
      <c r="M232" s="385"/>
      <c r="N232" s="385"/>
      <c r="O232" s="385"/>
      <c r="P232" s="385"/>
      <c r="Q232" s="385"/>
    </row>
    <row r="233" spans="1:17" x14ac:dyDescent="0.25">
      <c r="C233" s="390"/>
      <c r="D233" s="777"/>
      <c r="G233" s="385"/>
      <c r="H233" s="385"/>
      <c r="I233" s="385"/>
      <c r="J233" s="385"/>
      <c r="K233" s="385"/>
      <c r="L233" s="385"/>
      <c r="M233" s="385"/>
      <c r="N233" s="385"/>
      <c r="O233" s="385"/>
      <c r="P233" s="385"/>
      <c r="Q233" s="385"/>
    </row>
    <row r="234" spans="1:17" x14ac:dyDescent="0.25">
      <c r="G234" s="385"/>
      <c r="H234" s="385"/>
      <c r="I234" s="385"/>
      <c r="J234" s="385"/>
      <c r="K234" s="385"/>
      <c r="L234" s="385"/>
      <c r="M234" s="385"/>
      <c r="N234" s="385"/>
      <c r="O234" s="385"/>
      <c r="P234" s="385"/>
      <c r="Q234" s="385"/>
    </row>
    <row r="235" spans="1:17" x14ac:dyDescent="0.25">
      <c r="O235" s="391"/>
      <c r="P235" s="391"/>
      <c r="Q235" s="391"/>
    </row>
    <row r="238" spans="1:17" x14ac:dyDescent="0.25">
      <c r="A238" s="381"/>
      <c r="C238" s="381"/>
      <c r="D238" s="775"/>
      <c r="E238" s="382"/>
    </row>
    <row r="239" spans="1:17" x14ac:dyDescent="0.25">
      <c r="B239" s="386"/>
      <c r="C239" s="384"/>
      <c r="D239" s="776"/>
      <c r="E239" s="380"/>
      <c r="G239" s="385"/>
      <c r="H239" s="385"/>
      <c r="I239" s="385"/>
      <c r="J239" s="385"/>
      <c r="K239" s="385"/>
      <c r="L239" s="385"/>
      <c r="M239" s="385"/>
      <c r="N239" s="385"/>
      <c r="O239" s="385"/>
      <c r="P239" s="385"/>
      <c r="Q239" s="385"/>
    </row>
    <row r="240" spans="1:17" x14ac:dyDescent="0.25">
      <c r="B240" s="386"/>
      <c r="C240" s="384"/>
      <c r="D240" s="776"/>
      <c r="E240" s="380"/>
      <c r="F240" s="380"/>
      <c r="G240" s="387"/>
      <c r="H240" s="387"/>
      <c r="I240" s="387"/>
      <c r="J240" s="387"/>
      <c r="K240" s="387"/>
      <c r="L240" s="387"/>
      <c r="M240" s="387"/>
      <c r="N240" s="387"/>
      <c r="O240" s="387"/>
      <c r="P240" s="387"/>
      <c r="Q240" s="387"/>
    </row>
    <row r="241" spans="2:17" x14ac:dyDescent="0.25">
      <c r="B241" s="386"/>
      <c r="C241" s="384"/>
      <c r="D241" s="776"/>
      <c r="G241" s="385"/>
      <c r="H241" s="385"/>
      <c r="I241" s="385"/>
      <c r="J241" s="385"/>
      <c r="K241" s="385"/>
      <c r="L241" s="385"/>
      <c r="M241" s="385"/>
      <c r="N241" s="385"/>
      <c r="O241" s="385"/>
      <c r="P241" s="385"/>
      <c r="Q241" s="385"/>
    </row>
    <row r="242" spans="2:17" x14ac:dyDescent="0.25">
      <c r="B242" s="386"/>
      <c r="C242" s="384"/>
      <c r="D242" s="776"/>
      <c r="G242" s="385"/>
      <c r="H242" s="385"/>
      <c r="I242" s="385"/>
      <c r="J242" s="385"/>
      <c r="K242" s="385"/>
      <c r="L242" s="385"/>
      <c r="M242" s="385"/>
      <c r="N242" s="385"/>
      <c r="O242" s="385"/>
      <c r="P242" s="385"/>
      <c r="Q242" s="385"/>
    </row>
    <row r="243" spans="2:17" x14ac:dyDescent="0.25">
      <c r="B243" s="386"/>
      <c r="C243" s="384"/>
      <c r="D243" s="776"/>
      <c r="G243" s="385"/>
      <c r="H243" s="385"/>
      <c r="I243" s="385"/>
      <c r="J243" s="385"/>
      <c r="K243" s="385"/>
      <c r="L243" s="385"/>
      <c r="M243" s="385"/>
      <c r="N243" s="385"/>
      <c r="O243" s="385"/>
      <c r="P243" s="385"/>
      <c r="Q243" s="385"/>
    </row>
    <row r="244" spans="2:17" x14ac:dyDescent="0.25">
      <c r="B244" s="386"/>
      <c r="C244" s="384"/>
      <c r="D244" s="776"/>
      <c r="G244" s="385"/>
      <c r="H244" s="385"/>
      <c r="I244" s="385"/>
      <c r="J244" s="385"/>
      <c r="K244" s="385"/>
      <c r="L244" s="385"/>
      <c r="M244" s="385"/>
      <c r="N244" s="385"/>
      <c r="O244" s="385"/>
      <c r="P244" s="385"/>
      <c r="Q244" s="385"/>
    </row>
    <row r="245" spans="2:17" x14ac:dyDescent="0.25">
      <c r="B245" s="388"/>
      <c r="C245" s="384"/>
      <c r="D245" s="776"/>
      <c r="G245" s="385"/>
      <c r="H245" s="385"/>
      <c r="I245" s="385"/>
      <c r="J245" s="385"/>
      <c r="K245" s="385"/>
      <c r="L245" s="385"/>
      <c r="M245" s="385"/>
      <c r="N245" s="385"/>
      <c r="O245" s="385"/>
      <c r="P245" s="385"/>
      <c r="Q245" s="385"/>
    </row>
    <row r="246" spans="2:17" x14ac:dyDescent="0.25">
      <c r="C246" s="384"/>
      <c r="D246" s="776"/>
      <c r="G246" s="385"/>
      <c r="H246" s="385"/>
      <c r="I246" s="385"/>
      <c r="J246" s="385"/>
      <c r="K246" s="385"/>
      <c r="L246" s="385"/>
      <c r="M246" s="385"/>
      <c r="N246" s="385"/>
      <c r="O246" s="385"/>
      <c r="P246" s="385"/>
      <c r="Q246" s="385"/>
    </row>
    <row r="247" spans="2:17" x14ac:dyDescent="0.25">
      <c r="B247" s="386"/>
      <c r="C247" s="384"/>
      <c r="D247" s="776"/>
      <c r="G247" s="385"/>
      <c r="H247" s="385"/>
      <c r="I247" s="385"/>
      <c r="J247" s="385"/>
      <c r="K247" s="385"/>
      <c r="L247" s="385"/>
      <c r="M247" s="385"/>
      <c r="N247" s="385"/>
      <c r="O247" s="385"/>
      <c r="P247" s="385"/>
      <c r="Q247" s="385"/>
    </row>
    <row r="248" spans="2:17" x14ac:dyDescent="0.25">
      <c r="B248" s="386"/>
      <c r="C248" s="384"/>
      <c r="D248" s="776"/>
      <c r="G248" s="385"/>
      <c r="H248" s="385"/>
      <c r="I248" s="385"/>
      <c r="J248" s="385"/>
      <c r="K248" s="385"/>
      <c r="L248" s="385"/>
      <c r="M248" s="385"/>
      <c r="N248" s="385"/>
      <c r="O248" s="385"/>
      <c r="P248" s="385"/>
      <c r="Q248" s="385"/>
    </row>
    <row r="249" spans="2:17" x14ac:dyDescent="0.25">
      <c r="B249" s="386"/>
      <c r="C249" s="384"/>
      <c r="D249" s="776"/>
      <c r="G249" s="385"/>
      <c r="H249" s="385"/>
      <c r="I249" s="385"/>
      <c r="J249" s="385"/>
      <c r="K249" s="385"/>
      <c r="L249" s="385"/>
      <c r="M249" s="385"/>
      <c r="N249" s="385"/>
      <c r="O249" s="385"/>
      <c r="P249" s="385"/>
      <c r="Q249" s="385"/>
    </row>
    <row r="250" spans="2:17" x14ac:dyDescent="0.25">
      <c r="B250" s="386"/>
      <c r="C250" s="384"/>
      <c r="D250" s="776"/>
      <c r="G250" s="385"/>
      <c r="H250" s="385"/>
      <c r="I250" s="385"/>
      <c r="J250" s="385"/>
      <c r="K250" s="385"/>
      <c r="L250" s="385"/>
      <c r="M250" s="385"/>
      <c r="N250" s="385"/>
      <c r="O250" s="385"/>
      <c r="P250" s="385"/>
      <c r="Q250" s="385"/>
    </row>
    <row r="251" spans="2:17" x14ac:dyDescent="0.25">
      <c r="C251" s="384"/>
      <c r="D251" s="776"/>
      <c r="G251" s="385"/>
      <c r="H251" s="385"/>
      <c r="I251" s="385"/>
      <c r="J251" s="385"/>
      <c r="K251" s="385"/>
      <c r="L251" s="385"/>
      <c r="M251" s="385"/>
      <c r="N251" s="385"/>
      <c r="O251" s="385"/>
      <c r="P251" s="385"/>
      <c r="Q251" s="385"/>
    </row>
    <row r="252" spans="2:17" x14ac:dyDescent="0.25">
      <c r="B252" s="386"/>
      <c r="C252" s="384"/>
      <c r="D252" s="776"/>
      <c r="G252" s="385"/>
      <c r="H252" s="385"/>
      <c r="I252" s="385"/>
      <c r="J252" s="385"/>
      <c r="K252" s="385"/>
      <c r="L252" s="385"/>
      <c r="M252" s="385"/>
      <c r="N252" s="385"/>
      <c r="O252" s="385"/>
      <c r="P252" s="385"/>
      <c r="Q252" s="385"/>
    </row>
    <row r="253" spans="2:17" x14ac:dyDescent="0.25">
      <c r="B253" s="386"/>
      <c r="C253" s="384"/>
      <c r="D253" s="776"/>
      <c r="G253" s="385"/>
      <c r="H253" s="385"/>
      <c r="I253" s="385"/>
      <c r="J253" s="385"/>
      <c r="K253" s="385"/>
      <c r="L253" s="385"/>
      <c r="M253" s="385"/>
      <c r="N253" s="385"/>
      <c r="O253" s="385"/>
      <c r="P253" s="385"/>
      <c r="Q253" s="385"/>
    </row>
    <row r="254" spans="2:17" x14ac:dyDescent="0.25">
      <c r="B254" s="386"/>
      <c r="C254" s="384"/>
      <c r="D254" s="776"/>
      <c r="G254" s="385"/>
      <c r="H254" s="385"/>
      <c r="I254" s="385"/>
      <c r="J254" s="385"/>
      <c r="K254" s="385"/>
      <c r="L254" s="385"/>
      <c r="M254" s="385"/>
      <c r="N254" s="385"/>
      <c r="O254" s="385"/>
      <c r="P254" s="385"/>
      <c r="Q254" s="385"/>
    </row>
    <row r="255" spans="2:17" x14ac:dyDescent="0.25">
      <c r="B255" s="388"/>
      <c r="C255" s="384"/>
      <c r="D255" s="776"/>
      <c r="G255" s="385"/>
      <c r="H255" s="385"/>
      <c r="I255" s="385"/>
      <c r="J255" s="385"/>
      <c r="K255" s="385"/>
      <c r="L255" s="385"/>
      <c r="M255" s="385"/>
      <c r="N255" s="385"/>
      <c r="O255" s="385"/>
      <c r="P255" s="385"/>
      <c r="Q255" s="385"/>
    </row>
    <row r="256" spans="2:17" x14ac:dyDescent="0.25">
      <c r="B256" s="386"/>
      <c r="C256" s="384"/>
      <c r="D256" s="776"/>
      <c r="G256" s="385"/>
      <c r="H256" s="385"/>
      <c r="I256" s="385"/>
      <c r="J256" s="385"/>
      <c r="K256" s="385"/>
      <c r="L256" s="385"/>
      <c r="M256" s="385"/>
      <c r="N256" s="385"/>
      <c r="O256" s="385"/>
      <c r="P256" s="385"/>
      <c r="Q256" s="385"/>
    </row>
    <row r="257" spans="2:17" x14ac:dyDescent="0.25">
      <c r="B257" s="386"/>
      <c r="C257" s="384"/>
      <c r="D257" s="776"/>
      <c r="G257" s="385"/>
      <c r="H257" s="385"/>
      <c r="I257" s="385"/>
      <c r="J257" s="385"/>
      <c r="K257" s="385"/>
      <c r="L257" s="385"/>
      <c r="M257" s="385"/>
      <c r="N257" s="385"/>
      <c r="O257" s="385"/>
      <c r="P257" s="385"/>
      <c r="Q257" s="385"/>
    </row>
    <row r="258" spans="2:17" x14ac:dyDescent="0.25">
      <c r="B258" s="386"/>
      <c r="C258" s="384"/>
      <c r="D258" s="776"/>
      <c r="G258" s="385"/>
      <c r="H258" s="385"/>
      <c r="I258" s="385"/>
      <c r="J258" s="385"/>
      <c r="K258" s="385"/>
      <c r="L258" s="385"/>
      <c r="M258" s="385"/>
      <c r="N258" s="385"/>
      <c r="O258" s="385"/>
      <c r="P258" s="385"/>
      <c r="Q258" s="385"/>
    </row>
    <row r="259" spans="2:17" x14ac:dyDescent="0.25">
      <c r="B259" s="386"/>
      <c r="C259" s="384"/>
      <c r="D259" s="776"/>
      <c r="G259" s="385"/>
      <c r="H259" s="385"/>
      <c r="I259" s="385"/>
      <c r="J259" s="385"/>
      <c r="K259" s="385"/>
      <c r="L259" s="385"/>
      <c r="M259" s="385"/>
      <c r="N259" s="385"/>
      <c r="O259" s="385"/>
      <c r="P259" s="385"/>
      <c r="Q259" s="385"/>
    </row>
    <row r="260" spans="2:17" x14ac:dyDescent="0.25">
      <c r="B260" s="386"/>
      <c r="C260" s="384"/>
      <c r="D260" s="776"/>
      <c r="G260" s="385"/>
      <c r="H260" s="385"/>
      <c r="I260" s="385"/>
      <c r="J260" s="385"/>
      <c r="K260" s="385"/>
      <c r="L260" s="385"/>
      <c r="M260" s="385"/>
      <c r="N260" s="385"/>
      <c r="O260" s="385"/>
      <c r="P260" s="385"/>
      <c r="Q260" s="385"/>
    </row>
    <row r="261" spans="2:17" x14ac:dyDescent="0.25">
      <c r="B261" s="386"/>
      <c r="C261" s="384"/>
      <c r="D261" s="776"/>
      <c r="G261" s="385"/>
      <c r="H261" s="385"/>
      <c r="I261" s="385"/>
      <c r="J261" s="385"/>
      <c r="K261" s="385"/>
      <c r="L261" s="385"/>
      <c r="M261" s="385"/>
      <c r="N261" s="385"/>
      <c r="O261" s="385"/>
      <c r="P261" s="385"/>
      <c r="Q261" s="385"/>
    </row>
    <row r="262" spans="2:17" x14ac:dyDescent="0.25">
      <c r="B262" s="386"/>
      <c r="C262" s="384"/>
      <c r="D262" s="776"/>
      <c r="G262" s="385"/>
      <c r="H262" s="385"/>
      <c r="I262" s="385"/>
      <c r="J262" s="385"/>
      <c r="K262" s="385"/>
      <c r="L262" s="385"/>
      <c r="M262" s="385"/>
      <c r="N262" s="385"/>
      <c r="O262" s="385"/>
      <c r="P262" s="385"/>
      <c r="Q262" s="385"/>
    </row>
    <row r="263" spans="2:17" x14ac:dyDescent="0.25">
      <c r="B263" s="386"/>
      <c r="C263" s="384"/>
      <c r="D263" s="776"/>
      <c r="G263" s="385"/>
      <c r="H263" s="385"/>
      <c r="I263" s="385"/>
      <c r="J263" s="385"/>
      <c r="K263" s="385"/>
      <c r="L263" s="385"/>
      <c r="M263" s="385"/>
      <c r="N263" s="385"/>
      <c r="O263" s="385"/>
      <c r="P263" s="385"/>
      <c r="Q263" s="385"/>
    </row>
    <row r="264" spans="2:17" x14ac:dyDescent="0.25">
      <c r="B264" s="389"/>
      <c r="C264" s="384"/>
      <c r="D264" s="776"/>
      <c r="G264" s="385"/>
      <c r="H264" s="385"/>
      <c r="I264" s="385"/>
      <c r="J264" s="385"/>
      <c r="K264" s="385"/>
      <c r="L264" s="385"/>
      <c r="M264" s="385"/>
      <c r="N264" s="385"/>
      <c r="O264" s="385"/>
      <c r="P264" s="385"/>
      <c r="Q264" s="385"/>
    </row>
    <row r="265" spans="2:17" x14ac:dyDescent="0.25">
      <c r="C265" s="384"/>
      <c r="D265" s="776"/>
      <c r="G265" s="385"/>
      <c r="H265" s="385"/>
      <c r="I265" s="385"/>
      <c r="J265" s="385"/>
      <c r="K265" s="385"/>
      <c r="L265" s="385"/>
      <c r="M265" s="385"/>
      <c r="N265" s="385"/>
      <c r="O265" s="385"/>
      <c r="P265" s="385"/>
      <c r="Q265" s="385"/>
    </row>
    <row r="266" spans="2:17" x14ac:dyDescent="0.25">
      <c r="B266" s="389"/>
      <c r="C266" s="384"/>
      <c r="D266" s="776"/>
      <c r="G266" s="385"/>
      <c r="H266" s="385"/>
      <c r="I266" s="385"/>
      <c r="J266" s="385"/>
      <c r="K266" s="385"/>
      <c r="L266" s="385"/>
      <c r="M266" s="385"/>
      <c r="N266" s="385"/>
      <c r="O266" s="385"/>
      <c r="P266" s="385"/>
      <c r="Q266" s="385"/>
    </row>
    <row r="267" spans="2:17" x14ac:dyDescent="0.25">
      <c r="C267" s="384"/>
      <c r="D267" s="776"/>
      <c r="G267" s="385"/>
      <c r="H267" s="385"/>
      <c r="I267" s="385"/>
      <c r="J267" s="385"/>
      <c r="K267" s="385"/>
      <c r="L267" s="385"/>
      <c r="M267" s="385"/>
      <c r="N267" s="385"/>
      <c r="O267" s="385"/>
      <c r="P267" s="385"/>
      <c r="Q267" s="385"/>
    </row>
    <row r="268" spans="2:17" x14ac:dyDescent="0.25">
      <c r="B268" s="386"/>
      <c r="C268" s="384"/>
      <c r="D268" s="776"/>
      <c r="G268" s="385"/>
      <c r="H268" s="385"/>
      <c r="I268" s="385"/>
      <c r="J268" s="385"/>
      <c r="K268" s="385"/>
      <c r="L268" s="385"/>
      <c r="M268" s="385"/>
      <c r="N268" s="385"/>
      <c r="O268" s="385"/>
      <c r="P268" s="385"/>
      <c r="Q268" s="385"/>
    </row>
    <row r="269" spans="2:17" x14ac:dyDescent="0.25">
      <c r="B269" s="386"/>
      <c r="C269" s="384"/>
      <c r="D269" s="776"/>
      <c r="G269" s="385"/>
      <c r="H269" s="385"/>
      <c r="I269" s="385"/>
      <c r="J269" s="385"/>
      <c r="K269" s="385"/>
      <c r="L269" s="385"/>
      <c r="M269" s="385"/>
      <c r="N269" s="385"/>
      <c r="O269" s="385"/>
      <c r="P269" s="385"/>
      <c r="Q269" s="385"/>
    </row>
    <row r="270" spans="2:17" x14ac:dyDescent="0.25">
      <c r="B270" s="386"/>
      <c r="C270" s="384"/>
      <c r="D270" s="776"/>
      <c r="G270" s="385"/>
      <c r="H270" s="385"/>
      <c r="I270" s="385"/>
      <c r="J270" s="385"/>
      <c r="K270" s="385"/>
      <c r="L270" s="385"/>
      <c r="M270" s="385"/>
      <c r="N270" s="385"/>
      <c r="O270" s="385"/>
      <c r="P270" s="385"/>
      <c r="Q270" s="385"/>
    </row>
    <row r="271" spans="2:17" x14ac:dyDescent="0.25">
      <c r="B271" s="389"/>
      <c r="C271" s="384"/>
      <c r="D271" s="776"/>
      <c r="G271" s="385"/>
      <c r="H271" s="385"/>
      <c r="I271" s="385"/>
      <c r="J271" s="385"/>
      <c r="K271" s="385"/>
      <c r="L271" s="385"/>
      <c r="M271" s="385"/>
      <c r="N271" s="385"/>
      <c r="O271" s="385"/>
      <c r="P271" s="385"/>
      <c r="Q271" s="385"/>
    </row>
    <row r="272" spans="2:17" x14ac:dyDescent="0.25">
      <c r="C272" s="384"/>
      <c r="D272" s="776"/>
      <c r="G272" s="385"/>
      <c r="H272" s="385"/>
      <c r="I272" s="385"/>
      <c r="J272" s="385"/>
      <c r="K272" s="385"/>
      <c r="L272" s="385"/>
      <c r="M272" s="385"/>
      <c r="N272" s="385"/>
      <c r="O272" s="385"/>
      <c r="P272" s="385"/>
      <c r="Q272" s="385"/>
    </row>
    <row r="273" spans="2:18" x14ac:dyDescent="0.25">
      <c r="B273" s="386"/>
      <c r="C273" s="384"/>
      <c r="D273" s="776"/>
      <c r="G273" s="385"/>
      <c r="H273" s="385"/>
      <c r="I273" s="385"/>
      <c r="J273" s="385"/>
      <c r="K273" s="385"/>
      <c r="L273" s="385"/>
      <c r="M273" s="385"/>
      <c r="N273" s="385"/>
      <c r="O273" s="385"/>
      <c r="P273" s="385"/>
      <c r="Q273" s="385"/>
    </row>
    <row r="274" spans="2:18" x14ac:dyDescent="0.25">
      <c r="B274" s="386"/>
      <c r="C274" s="384"/>
      <c r="D274" s="776"/>
      <c r="G274" s="385"/>
      <c r="H274" s="385"/>
      <c r="I274" s="385"/>
      <c r="J274" s="385"/>
      <c r="K274" s="385"/>
      <c r="L274" s="385"/>
      <c r="M274" s="385"/>
      <c r="N274" s="385"/>
      <c r="O274" s="385"/>
      <c r="P274" s="385"/>
      <c r="Q274" s="385"/>
    </row>
    <row r="275" spans="2:18" x14ac:dyDescent="0.25">
      <c r="B275" s="389"/>
      <c r="C275" s="384"/>
      <c r="D275" s="776"/>
      <c r="G275" s="385"/>
      <c r="H275" s="385"/>
      <c r="I275" s="385"/>
      <c r="J275" s="385"/>
      <c r="K275" s="385"/>
      <c r="L275" s="385"/>
      <c r="M275" s="385"/>
      <c r="N275" s="385"/>
      <c r="O275" s="385"/>
      <c r="P275" s="385"/>
      <c r="Q275" s="385"/>
    </row>
    <row r="276" spans="2:18" x14ac:dyDescent="0.25">
      <c r="C276" s="384"/>
      <c r="D276" s="776"/>
      <c r="G276" s="385"/>
      <c r="H276" s="385"/>
      <c r="I276" s="385"/>
      <c r="J276" s="385"/>
      <c r="K276" s="385"/>
      <c r="L276" s="385"/>
      <c r="M276" s="385"/>
      <c r="N276" s="385"/>
      <c r="O276" s="385"/>
      <c r="P276" s="385"/>
      <c r="Q276" s="385"/>
    </row>
    <row r="277" spans="2:18" x14ac:dyDescent="0.25">
      <c r="B277" s="388"/>
      <c r="C277" s="390"/>
      <c r="D277" s="777"/>
      <c r="G277" s="385"/>
      <c r="H277" s="385"/>
      <c r="I277" s="385"/>
      <c r="J277" s="385"/>
      <c r="K277" s="385"/>
      <c r="L277" s="385"/>
      <c r="M277" s="385"/>
      <c r="N277" s="385"/>
      <c r="O277" s="385"/>
      <c r="P277" s="385"/>
      <c r="Q277" s="385"/>
    </row>
    <row r="278" spans="2:18" x14ac:dyDescent="0.25">
      <c r="B278" s="389"/>
      <c r="C278" s="384"/>
      <c r="D278" s="776"/>
      <c r="G278" s="385"/>
      <c r="H278" s="385"/>
      <c r="I278" s="385"/>
      <c r="J278" s="385"/>
      <c r="K278" s="385"/>
      <c r="L278" s="385"/>
      <c r="M278" s="385"/>
      <c r="N278" s="385"/>
      <c r="O278" s="385"/>
      <c r="P278" s="385"/>
      <c r="Q278" s="385"/>
    </row>
    <row r="279" spans="2:18" x14ac:dyDescent="0.25">
      <c r="B279" s="389"/>
      <c r="C279" s="384"/>
      <c r="D279" s="776"/>
      <c r="G279" s="385"/>
      <c r="H279" s="385"/>
      <c r="I279" s="385"/>
      <c r="J279" s="385"/>
      <c r="K279" s="385"/>
      <c r="L279" s="385"/>
      <c r="M279" s="385"/>
      <c r="N279" s="385"/>
      <c r="O279" s="385"/>
      <c r="P279" s="385"/>
      <c r="Q279" s="385"/>
    </row>
    <row r="280" spans="2:18" x14ac:dyDescent="0.25">
      <c r="C280" s="390"/>
      <c r="D280" s="777"/>
      <c r="G280" s="385"/>
      <c r="H280" s="385"/>
      <c r="I280" s="385"/>
      <c r="J280" s="385"/>
      <c r="K280" s="385"/>
      <c r="L280" s="385"/>
      <c r="M280" s="385"/>
      <c r="N280" s="385"/>
      <c r="O280" s="385"/>
      <c r="P280" s="385"/>
      <c r="Q280" s="385"/>
    </row>
    <row r="281" spans="2:18" x14ac:dyDescent="0.25">
      <c r="G281" s="385"/>
      <c r="H281" s="385"/>
      <c r="I281" s="385"/>
      <c r="J281" s="385"/>
      <c r="K281" s="385"/>
      <c r="L281" s="385"/>
      <c r="M281" s="385"/>
      <c r="N281" s="385"/>
      <c r="O281" s="385"/>
      <c r="P281" s="385"/>
      <c r="Q281" s="385"/>
    </row>
    <row r="282" spans="2:18" x14ac:dyDescent="0.25">
      <c r="O282" s="391"/>
      <c r="P282" s="391"/>
      <c r="Q282" s="391"/>
      <c r="R282" s="392"/>
    </row>
    <row r="283" spans="2:18" x14ac:dyDescent="0.25">
      <c r="O283" s="391"/>
      <c r="P283" s="391"/>
      <c r="Q283" s="391"/>
      <c r="R283" s="392"/>
    </row>
    <row r="284" spans="2:18" x14ac:dyDescent="0.25">
      <c r="O284" s="391"/>
      <c r="P284" s="391"/>
      <c r="Q284" s="391"/>
      <c r="R284" s="392"/>
    </row>
    <row r="285" spans="2:18" x14ac:dyDescent="0.25">
      <c r="O285" s="391"/>
      <c r="P285" s="391"/>
      <c r="Q285" s="391"/>
      <c r="R285" s="392"/>
    </row>
    <row r="286" spans="2:18" x14ac:dyDescent="0.25">
      <c r="O286" s="391"/>
      <c r="P286" s="391"/>
      <c r="Q286" s="391"/>
      <c r="R286" s="392"/>
    </row>
    <row r="287" spans="2:18" x14ac:dyDescent="0.25">
      <c r="O287" s="391"/>
      <c r="P287" s="391"/>
      <c r="Q287" s="391"/>
    </row>
  </sheetData>
  <protectedRanges>
    <protectedRange sqref="L16:M23" name="Range1_1"/>
  </protectedRanges>
  <mergeCells count="12">
    <mergeCell ref="A16:E16"/>
    <mergeCell ref="G16:H16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67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FF00"/>
    <pageSetUpPr fitToPage="1"/>
  </sheetPr>
  <dimension ref="A1:N300"/>
  <sheetViews>
    <sheetView view="pageBreakPreview" zoomScale="80" zoomScaleNormal="70" zoomScaleSheetLayoutView="80" workbookViewId="0">
      <selection activeCell="C14" sqref="C14"/>
    </sheetView>
  </sheetViews>
  <sheetFormatPr defaultColWidth="10.7109375" defaultRowHeight="12.75" x14ac:dyDescent="0.25"/>
  <cols>
    <col min="1" max="1" width="10.7109375" style="360" customWidth="1"/>
    <col min="2" max="2" width="38" style="360" customWidth="1"/>
    <col min="3" max="3" width="8.42578125" style="374" customWidth="1"/>
    <col min="4" max="4" width="15.7109375" style="785" customWidth="1"/>
    <col min="5" max="5" width="15.7109375" style="375" customWidth="1"/>
    <col min="6" max="6" width="17.85546875" style="375" customWidth="1"/>
    <col min="7" max="7" width="31.85546875" style="360" hidden="1" customWidth="1"/>
    <col min="8" max="8" width="33.28515625" style="373" customWidth="1"/>
    <col min="9" max="253" width="10.7109375" style="360"/>
    <col min="254" max="254" width="13.140625" style="360" customWidth="1"/>
    <col min="255" max="255" width="38" style="360" customWidth="1"/>
    <col min="256" max="256" width="8.42578125" style="360" customWidth="1"/>
    <col min="257" max="257" width="15.7109375" style="360" customWidth="1"/>
    <col min="258" max="258" width="18.28515625" style="360" customWidth="1"/>
    <col min="259" max="259" width="17.85546875" style="360" customWidth="1"/>
    <col min="260" max="260" width="0" style="360" hidden="1" customWidth="1"/>
    <col min="261" max="261" width="33.28515625" style="360" customWidth="1"/>
    <col min="262" max="509" width="10.7109375" style="360"/>
    <col min="510" max="510" width="13.140625" style="360" customWidth="1"/>
    <col min="511" max="511" width="38" style="360" customWidth="1"/>
    <col min="512" max="512" width="8.42578125" style="360" customWidth="1"/>
    <col min="513" max="513" width="15.7109375" style="360" customWidth="1"/>
    <col min="514" max="514" width="18.28515625" style="360" customWidth="1"/>
    <col min="515" max="515" width="17.85546875" style="360" customWidth="1"/>
    <col min="516" max="516" width="0" style="360" hidden="1" customWidth="1"/>
    <col min="517" max="517" width="33.28515625" style="360" customWidth="1"/>
    <col min="518" max="765" width="10.7109375" style="360"/>
    <col min="766" max="766" width="13.140625" style="360" customWidth="1"/>
    <col min="767" max="767" width="38" style="360" customWidth="1"/>
    <col min="768" max="768" width="8.42578125" style="360" customWidth="1"/>
    <col min="769" max="769" width="15.7109375" style="360" customWidth="1"/>
    <col min="770" max="770" width="18.28515625" style="360" customWidth="1"/>
    <col min="771" max="771" width="17.85546875" style="360" customWidth="1"/>
    <col min="772" max="772" width="0" style="360" hidden="1" customWidth="1"/>
    <col min="773" max="773" width="33.28515625" style="360" customWidth="1"/>
    <col min="774" max="1021" width="10.7109375" style="360"/>
    <col min="1022" max="1022" width="13.140625" style="360" customWidth="1"/>
    <col min="1023" max="1023" width="38" style="360" customWidth="1"/>
    <col min="1024" max="1024" width="8.42578125" style="360" customWidth="1"/>
    <col min="1025" max="1025" width="15.7109375" style="360" customWidth="1"/>
    <col min="1026" max="1026" width="18.28515625" style="360" customWidth="1"/>
    <col min="1027" max="1027" width="17.85546875" style="360" customWidth="1"/>
    <col min="1028" max="1028" width="0" style="360" hidden="1" customWidth="1"/>
    <col min="1029" max="1029" width="33.28515625" style="360" customWidth="1"/>
    <col min="1030" max="1277" width="10.7109375" style="360"/>
    <col min="1278" max="1278" width="13.140625" style="360" customWidth="1"/>
    <col min="1279" max="1279" width="38" style="360" customWidth="1"/>
    <col min="1280" max="1280" width="8.42578125" style="360" customWidth="1"/>
    <col min="1281" max="1281" width="15.7109375" style="360" customWidth="1"/>
    <col min="1282" max="1282" width="18.28515625" style="360" customWidth="1"/>
    <col min="1283" max="1283" width="17.85546875" style="360" customWidth="1"/>
    <col min="1284" max="1284" width="0" style="360" hidden="1" customWidth="1"/>
    <col min="1285" max="1285" width="33.28515625" style="360" customWidth="1"/>
    <col min="1286" max="1533" width="10.7109375" style="360"/>
    <col min="1534" max="1534" width="13.140625" style="360" customWidth="1"/>
    <col min="1535" max="1535" width="38" style="360" customWidth="1"/>
    <col min="1536" max="1536" width="8.42578125" style="360" customWidth="1"/>
    <col min="1537" max="1537" width="15.7109375" style="360" customWidth="1"/>
    <col min="1538" max="1538" width="18.28515625" style="360" customWidth="1"/>
    <col min="1539" max="1539" width="17.85546875" style="360" customWidth="1"/>
    <col min="1540" max="1540" width="0" style="360" hidden="1" customWidth="1"/>
    <col min="1541" max="1541" width="33.28515625" style="360" customWidth="1"/>
    <col min="1542" max="1789" width="10.7109375" style="360"/>
    <col min="1790" max="1790" width="13.140625" style="360" customWidth="1"/>
    <col min="1791" max="1791" width="38" style="360" customWidth="1"/>
    <col min="1792" max="1792" width="8.42578125" style="360" customWidth="1"/>
    <col min="1793" max="1793" width="15.7109375" style="360" customWidth="1"/>
    <col min="1794" max="1794" width="18.28515625" style="360" customWidth="1"/>
    <col min="1795" max="1795" width="17.85546875" style="360" customWidth="1"/>
    <col min="1796" max="1796" width="0" style="360" hidden="1" customWidth="1"/>
    <col min="1797" max="1797" width="33.28515625" style="360" customWidth="1"/>
    <col min="1798" max="2045" width="10.7109375" style="360"/>
    <col min="2046" max="2046" width="13.140625" style="360" customWidth="1"/>
    <col min="2047" max="2047" width="38" style="360" customWidth="1"/>
    <col min="2048" max="2048" width="8.42578125" style="360" customWidth="1"/>
    <col min="2049" max="2049" width="15.7109375" style="360" customWidth="1"/>
    <col min="2050" max="2050" width="18.28515625" style="360" customWidth="1"/>
    <col min="2051" max="2051" width="17.85546875" style="360" customWidth="1"/>
    <col min="2052" max="2052" width="0" style="360" hidden="1" customWidth="1"/>
    <col min="2053" max="2053" width="33.28515625" style="360" customWidth="1"/>
    <col min="2054" max="2301" width="10.7109375" style="360"/>
    <col min="2302" max="2302" width="13.140625" style="360" customWidth="1"/>
    <col min="2303" max="2303" width="38" style="360" customWidth="1"/>
    <col min="2304" max="2304" width="8.42578125" style="360" customWidth="1"/>
    <col min="2305" max="2305" width="15.7109375" style="360" customWidth="1"/>
    <col min="2306" max="2306" width="18.28515625" style="360" customWidth="1"/>
    <col min="2307" max="2307" width="17.85546875" style="360" customWidth="1"/>
    <col min="2308" max="2308" width="0" style="360" hidden="1" customWidth="1"/>
    <col min="2309" max="2309" width="33.28515625" style="360" customWidth="1"/>
    <col min="2310" max="2557" width="10.7109375" style="360"/>
    <col min="2558" max="2558" width="13.140625" style="360" customWidth="1"/>
    <col min="2559" max="2559" width="38" style="360" customWidth="1"/>
    <col min="2560" max="2560" width="8.42578125" style="360" customWidth="1"/>
    <col min="2561" max="2561" width="15.7109375" style="360" customWidth="1"/>
    <col min="2562" max="2562" width="18.28515625" style="360" customWidth="1"/>
    <col min="2563" max="2563" width="17.85546875" style="360" customWidth="1"/>
    <col min="2564" max="2564" width="0" style="360" hidden="1" customWidth="1"/>
    <col min="2565" max="2565" width="33.28515625" style="360" customWidth="1"/>
    <col min="2566" max="2813" width="10.7109375" style="360"/>
    <col min="2814" max="2814" width="13.140625" style="360" customWidth="1"/>
    <col min="2815" max="2815" width="38" style="360" customWidth="1"/>
    <col min="2816" max="2816" width="8.42578125" style="360" customWidth="1"/>
    <col min="2817" max="2817" width="15.7109375" style="360" customWidth="1"/>
    <col min="2818" max="2818" width="18.28515625" style="360" customWidth="1"/>
    <col min="2819" max="2819" width="17.85546875" style="360" customWidth="1"/>
    <col min="2820" max="2820" width="0" style="360" hidden="1" customWidth="1"/>
    <col min="2821" max="2821" width="33.28515625" style="360" customWidth="1"/>
    <col min="2822" max="3069" width="10.7109375" style="360"/>
    <col min="3070" max="3070" width="13.140625" style="360" customWidth="1"/>
    <col min="3071" max="3071" width="38" style="360" customWidth="1"/>
    <col min="3072" max="3072" width="8.42578125" style="360" customWidth="1"/>
    <col min="3073" max="3073" width="15.7109375" style="360" customWidth="1"/>
    <col min="3074" max="3074" width="18.28515625" style="360" customWidth="1"/>
    <col min="3075" max="3075" width="17.85546875" style="360" customWidth="1"/>
    <col min="3076" max="3076" width="0" style="360" hidden="1" customWidth="1"/>
    <col min="3077" max="3077" width="33.28515625" style="360" customWidth="1"/>
    <col min="3078" max="3325" width="10.7109375" style="360"/>
    <col min="3326" max="3326" width="13.140625" style="360" customWidth="1"/>
    <col min="3327" max="3327" width="38" style="360" customWidth="1"/>
    <col min="3328" max="3328" width="8.42578125" style="360" customWidth="1"/>
    <col min="3329" max="3329" width="15.7109375" style="360" customWidth="1"/>
    <col min="3330" max="3330" width="18.28515625" style="360" customWidth="1"/>
    <col min="3331" max="3331" width="17.85546875" style="360" customWidth="1"/>
    <col min="3332" max="3332" width="0" style="360" hidden="1" customWidth="1"/>
    <col min="3333" max="3333" width="33.28515625" style="360" customWidth="1"/>
    <col min="3334" max="3581" width="10.7109375" style="360"/>
    <col min="3582" max="3582" width="13.140625" style="360" customWidth="1"/>
    <col min="3583" max="3583" width="38" style="360" customWidth="1"/>
    <col min="3584" max="3584" width="8.42578125" style="360" customWidth="1"/>
    <col min="3585" max="3585" width="15.7109375" style="360" customWidth="1"/>
    <col min="3586" max="3586" width="18.28515625" style="360" customWidth="1"/>
    <col min="3587" max="3587" width="17.85546875" style="360" customWidth="1"/>
    <col min="3588" max="3588" width="0" style="360" hidden="1" customWidth="1"/>
    <col min="3589" max="3589" width="33.28515625" style="360" customWidth="1"/>
    <col min="3590" max="3837" width="10.7109375" style="360"/>
    <col min="3838" max="3838" width="13.140625" style="360" customWidth="1"/>
    <col min="3839" max="3839" width="38" style="360" customWidth="1"/>
    <col min="3840" max="3840" width="8.42578125" style="360" customWidth="1"/>
    <col min="3841" max="3841" width="15.7109375" style="360" customWidth="1"/>
    <col min="3842" max="3842" width="18.28515625" style="360" customWidth="1"/>
    <col min="3843" max="3843" width="17.85546875" style="360" customWidth="1"/>
    <col min="3844" max="3844" width="0" style="360" hidden="1" customWidth="1"/>
    <col min="3845" max="3845" width="33.28515625" style="360" customWidth="1"/>
    <col min="3846" max="4093" width="10.7109375" style="360"/>
    <col min="4094" max="4094" width="13.140625" style="360" customWidth="1"/>
    <col min="4095" max="4095" width="38" style="360" customWidth="1"/>
    <col min="4096" max="4096" width="8.42578125" style="360" customWidth="1"/>
    <col min="4097" max="4097" width="15.7109375" style="360" customWidth="1"/>
    <col min="4098" max="4098" width="18.28515625" style="360" customWidth="1"/>
    <col min="4099" max="4099" width="17.85546875" style="360" customWidth="1"/>
    <col min="4100" max="4100" width="0" style="360" hidden="1" customWidth="1"/>
    <col min="4101" max="4101" width="33.28515625" style="360" customWidth="1"/>
    <col min="4102" max="4349" width="10.7109375" style="360"/>
    <col min="4350" max="4350" width="13.140625" style="360" customWidth="1"/>
    <col min="4351" max="4351" width="38" style="360" customWidth="1"/>
    <col min="4352" max="4352" width="8.42578125" style="360" customWidth="1"/>
    <col min="4353" max="4353" width="15.7109375" style="360" customWidth="1"/>
    <col min="4354" max="4354" width="18.28515625" style="360" customWidth="1"/>
    <col min="4355" max="4355" width="17.85546875" style="360" customWidth="1"/>
    <col min="4356" max="4356" width="0" style="360" hidden="1" customWidth="1"/>
    <col min="4357" max="4357" width="33.28515625" style="360" customWidth="1"/>
    <col min="4358" max="4605" width="10.7109375" style="360"/>
    <col min="4606" max="4606" width="13.140625" style="360" customWidth="1"/>
    <col min="4607" max="4607" width="38" style="360" customWidth="1"/>
    <col min="4608" max="4608" width="8.42578125" style="360" customWidth="1"/>
    <col min="4609" max="4609" width="15.7109375" style="360" customWidth="1"/>
    <col min="4610" max="4610" width="18.28515625" style="360" customWidth="1"/>
    <col min="4611" max="4611" width="17.85546875" style="360" customWidth="1"/>
    <col min="4612" max="4612" width="0" style="360" hidden="1" customWidth="1"/>
    <col min="4613" max="4613" width="33.28515625" style="360" customWidth="1"/>
    <col min="4614" max="4861" width="10.7109375" style="360"/>
    <col min="4862" max="4862" width="13.140625" style="360" customWidth="1"/>
    <col min="4863" max="4863" width="38" style="360" customWidth="1"/>
    <col min="4864" max="4864" width="8.42578125" style="360" customWidth="1"/>
    <col min="4865" max="4865" width="15.7109375" style="360" customWidth="1"/>
    <col min="4866" max="4866" width="18.28515625" style="360" customWidth="1"/>
    <col min="4867" max="4867" width="17.85546875" style="360" customWidth="1"/>
    <col min="4868" max="4868" width="0" style="360" hidden="1" customWidth="1"/>
    <col min="4869" max="4869" width="33.28515625" style="360" customWidth="1"/>
    <col min="4870" max="5117" width="10.7109375" style="360"/>
    <col min="5118" max="5118" width="13.140625" style="360" customWidth="1"/>
    <col min="5119" max="5119" width="38" style="360" customWidth="1"/>
    <col min="5120" max="5120" width="8.42578125" style="360" customWidth="1"/>
    <col min="5121" max="5121" width="15.7109375" style="360" customWidth="1"/>
    <col min="5122" max="5122" width="18.28515625" style="360" customWidth="1"/>
    <col min="5123" max="5123" width="17.85546875" style="360" customWidth="1"/>
    <col min="5124" max="5124" width="0" style="360" hidden="1" customWidth="1"/>
    <col min="5125" max="5125" width="33.28515625" style="360" customWidth="1"/>
    <col min="5126" max="5373" width="10.7109375" style="360"/>
    <col min="5374" max="5374" width="13.140625" style="360" customWidth="1"/>
    <col min="5375" max="5375" width="38" style="360" customWidth="1"/>
    <col min="5376" max="5376" width="8.42578125" style="360" customWidth="1"/>
    <col min="5377" max="5377" width="15.7109375" style="360" customWidth="1"/>
    <col min="5378" max="5378" width="18.28515625" style="360" customWidth="1"/>
    <col min="5379" max="5379" width="17.85546875" style="360" customWidth="1"/>
    <col min="5380" max="5380" width="0" style="360" hidden="1" customWidth="1"/>
    <col min="5381" max="5381" width="33.28515625" style="360" customWidth="1"/>
    <col min="5382" max="5629" width="10.7109375" style="360"/>
    <col min="5630" max="5630" width="13.140625" style="360" customWidth="1"/>
    <col min="5631" max="5631" width="38" style="360" customWidth="1"/>
    <col min="5632" max="5632" width="8.42578125" style="360" customWidth="1"/>
    <col min="5633" max="5633" width="15.7109375" style="360" customWidth="1"/>
    <col min="5634" max="5634" width="18.28515625" style="360" customWidth="1"/>
    <col min="5635" max="5635" width="17.85546875" style="360" customWidth="1"/>
    <col min="5636" max="5636" width="0" style="360" hidden="1" customWidth="1"/>
    <col min="5637" max="5637" width="33.28515625" style="360" customWidth="1"/>
    <col min="5638" max="5885" width="10.7109375" style="360"/>
    <col min="5886" max="5886" width="13.140625" style="360" customWidth="1"/>
    <col min="5887" max="5887" width="38" style="360" customWidth="1"/>
    <col min="5888" max="5888" width="8.42578125" style="360" customWidth="1"/>
    <col min="5889" max="5889" width="15.7109375" style="360" customWidth="1"/>
    <col min="5890" max="5890" width="18.28515625" style="360" customWidth="1"/>
    <col min="5891" max="5891" width="17.85546875" style="360" customWidth="1"/>
    <col min="5892" max="5892" width="0" style="360" hidden="1" customWidth="1"/>
    <col min="5893" max="5893" width="33.28515625" style="360" customWidth="1"/>
    <col min="5894" max="6141" width="10.7109375" style="360"/>
    <col min="6142" max="6142" width="13.140625" style="360" customWidth="1"/>
    <col min="6143" max="6143" width="38" style="360" customWidth="1"/>
    <col min="6144" max="6144" width="8.42578125" style="360" customWidth="1"/>
    <col min="6145" max="6145" width="15.7109375" style="360" customWidth="1"/>
    <col min="6146" max="6146" width="18.28515625" style="360" customWidth="1"/>
    <col min="6147" max="6147" width="17.85546875" style="360" customWidth="1"/>
    <col min="6148" max="6148" width="0" style="360" hidden="1" customWidth="1"/>
    <col min="6149" max="6149" width="33.28515625" style="360" customWidth="1"/>
    <col min="6150" max="6397" width="10.7109375" style="360"/>
    <col min="6398" max="6398" width="13.140625" style="360" customWidth="1"/>
    <col min="6399" max="6399" width="38" style="360" customWidth="1"/>
    <col min="6400" max="6400" width="8.42578125" style="360" customWidth="1"/>
    <col min="6401" max="6401" width="15.7109375" style="360" customWidth="1"/>
    <col min="6402" max="6402" width="18.28515625" style="360" customWidth="1"/>
    <col min="6403" max="6403" width="17.85546875" style="360" customWidth="1"/>
    <col min="6404" max="6404" width="0" style="360" hidden="1" customWidth="1"/>
    <col min="6405" max="6405" width="33.28515625" style="360" customWidth="1"/>
    <col min="6406" max="6653" width="10.7109375" style="360"/>
    <col min="6654" max="6654" width="13.140625" style="360" customWidth="1"/>
    <col min="6655" max="6655" width="38" style="360" customWidth="1"/>
    <col min="6656" max="6656" width="8.42578125" style="360" customWidth="1"/>
    <col min="6657" max="6657" width="15.7109375" style="360" customWidth="1"/>
    <col min="6658" max="6658" width="18.28515625" style="360" customWidth="1"/>
    <col min="6659" max="6659" width="17.85546875" style="360" customWidth="1"/>
    <col min="6660" max="6660" width="0" style="360" hidden="1" customWidth="1"/>
    <col min="6661" max="6661" width="33.28515625" style="360" customWidth="1"/>
    <col min="6662" max="6909" width="10.7109375" style="360"/>
    <col min="6910" max="6910" width="13.140625" style="360" customWidth="1"/>
    <col min="6911" max="6911" width="38" style="360" customWidth="1"/>
    <col min="6912" max="6912" width="8.42578125" style="360" customWidth="1"/>
    <col min="6913" max="6913" width="15.7109375" style="360" customWidth="1"/>
    <col min="6914" max="6914" width="18.28515625" style="360" customWidth="1"/>
    <col min="6915" max="6915" width="17.85546875" style="360" customWidth="1"/>
    <col min="6916" max="6916" width="0" style="360" hidden="1" customWidth="1"/>
    <col min="6917" max="6917" width="33.28515625" style="360" customWidth="1"/>
    <col min="6918" max="7165" width="10.7109375" style="360"/>
    <col min="7166" max="7166" width="13.140625" style="360" customWidth="1"/>
    <col min="7167" max="7167" width="38" style="360" customWidth="1"/>
    <col min="7168" max="7168" width="8.42578125" style="360" customWidth="1"/>
    <col min="7169" max="7169" width="15.7109375" style="360" customWidth="1"/>
    <col min="7170" max="7170" width="18.28515625" style="360" customWidth="1"/>
    <col min="7171" max="7171" width="17.85546875" style="360" customWidth="1"/>
    <col min="7172" max="7172" width="0" style="360" hidden="1" customWidth="1"/>
    <col min="7173" max="7173" width="33.28515625" style="360" customWidth="1"/>
    <col min="7174" max="7421" width="10.7109375" style="360"/>
    <col min="7422" max="7422" width="13.140625" style="360" customWidth="1"/>
    <col min="7423" max="7423" width="38" style="360" customWidth="1"/>
    <col min="7424" max="7424" width="8.42578125" style="360" customWidth="1"/>
    <col min="7425" max="7425" width="15.7109375" style="360" customWidth="1"/>
    <col min="7426" max="7426" width="18.28515625" style="360" customWidth="1"/>
    <col min="7427" max="7427" width="17.85546875" style="360" customWidth="1"/>
    <col min="7428" max="7428" width="0" style="360" hidden="1" customWidth="1"/>
    <col min="7429" max="7429" width="33.28515625" style="360" customWidth="1"/>
    <col min="7430" max="7677" width="10.7109375" style="360"/>
    <col min="7678" max="7678" width="13.140625" style="360" customWidth="1"/>
    <col min="7679" max="7679" width="38" style="360" customWidth="1"/>
    <col min="7680" max="7680" width="8.42578125" style="360" customWidth="1"/>
    <col min="7681" max="7681" width="15.7109375" style="360" customWidth="1"/>
    <col min="7682" max="7682" width="18.28515625" style="360" customWidth="1"/>
    <col min="7683" max="7683" width="17.85546875" style="360" customWidth="1"/>
    <col min="7684" max="7684" width="0" style="360" hidden="1" customWidth="1"/>
    <col min="7685" max="7685" width="33.28515625" style="360" customWidth="1"/>
    <col min="7686" max="7933" width="10.7109375" style="360"/>
    <col min="7934" max="7934" width="13.140625" style="360" customWidth="1"/>
    <col min="7935" max="7935" width="38" style="360" customWidth="1"/>
    <col min="7936" max="7936" width="8.42578125" style="360" customWidth="1"/>
    <col min="7937" max="7937" width="15.7109375" style="360" customWidth="1"/>
    <col min="7938" max="7938" width="18.28515625" style="360" customWidth="1"/>
    <col min="7939" max="7939" width="17.85546875" style="360" customWidth="1"/>
    <col min="7940" max="7940" width="0" style="360" hidden="1" customWidth="1"/>
    <col min="7941" max="7941" width="33.28515625" style="360" customWidth="1"/>
    <col min="7942" max="8189" width="10.7109375" style="360"/>
    <col min="8190" max="8190" width="13.140625" style="360" customWidth="1"/>
    <col min="8191" max="8191" width="38" style="360" customWidth="1"/>
    <col min="8192" max="8192" width="8.42578125" style="360" customWidth="1"/>
    <col min="8193" max="8193" width="15.7109375" style="360" customWidth="1"/>
    <col min="8194" max="8194" width="18.28515625" style="360" customWidth="1"/>
    <col min="8195" max="8195" width="17.85546875" style="360" customWidth="1"/>
    <col min="8196" max="8196" width="0" style="360" hidden="1" customWidth="1"/>
    <col min="8197" max="8197" width="33.28515625" style="360" customWidth="1"/>
    <col min="8198" max="8445" width="10.7109375" style="360"/>
    <col min="8446" max="8446" width="13.140625" style="360" customWidth="1"/>
    <col min="8447" max="8447" width="38" style="360" customWidth="1"/>
    <col min="8448" max="8448" width="8.42578125" style="360" customWidth="1"/>
    <col min="8449" max="8449" width="15.7109375" style="360" customWidth="1"/>
    <col min="8450" max="8450" width="18.28515625" style="360" customWidth="1"/>
    <col min="8451" max="8451" width="17.85546875" style="360" customWidth="1"/>
    <col min="8452" max="8452" width="0" style="360" hidden="1" customWidth="1"/>
    <col min="8453" max="8453" width="33.28515625" style="360" customWidth="1"/>
    <col min="8454" max="8701" width="10.7109375" style="360"/>
    <col min="8702" max="8702" width="13.140625" style="360" customWidth="1"/>
    <col min="8703" max="8703" width="38" style="360" customWidth="1"/>
    <col min="8704" max="8704" width="8.42578125" style="360" customWidth="1"/>
    <col min="8705" max="8705" width="15.7109375" style="360" customWidth="1"/>
    <col min="8706" max="8706" width="18.28515625" style="360" customWidth="1"/>
    <col min="8707" max="8707" width="17.85546875" style="360" customWidth="1"/>
    <col min="8708" max="8708" width="0" style="360" hidden="1" customWidth="1"/>
    <col min="8709" max="8709" width="33.28515625" style="360" customWidth="1"/>
    <col min="8710" max="8957" width="10.7109375" style="360"/>
    <col min="8958" max="8958" width="13.140625" style="360" customWidth="1"/>
    <col min="8959" max="8959" width="38" style="360" customWidth="1"/>
    <col min="8960" max="8960" width="8.42578125" style="360" customWidth="1"/>
    <col min="8961" max="8961" width="15.7109375" style="360" customWidth="1"/>
    <col min="8962" max="8962" width="18.28515625" style="360" customWidth="1"/>
    <col min="8963" max="8963" width="17.85546875" style="360" customWidth="1"/>
    <col min="8964" max="8964" width="0" style="360" hidden="1" customWidth="1"/>
    <col min="8965" max="8965" width="33.28515625" style="360" customWidth="1"/>
    <col min="8966" max="9213" width="10.7109375" style="360"/>
    <col min="9214" max="9214" width="13.140625" style="360" customWidth="1"/>
    <col min="9215" max="9215" width="38" style="360" customWidth="1"/>
    <col min="9216" max="9216" width="8.42578125" style="360" customWidth="1"/>
    <col min="9217" max="9217" width="15.7109375" style="360" customWidth="1"/>
    <col min="9218" max="9218" width="18.28515625" style="360" customWidth="1"/>
    <col min="9219" max="9219" width="17.85546875" style="360" customWidth="1"/>
    <col min="9220" max="9220" width="0" style="360" hidden="1" customWidth="1"/>
    <col min="9221" max="9221" width="33.28515625" style="360" customWidth="1"/>
    <col min="9222" max="9469" width="10.7109375" style="360"/>
    <col min="9470" max="9470" width="13.140625" style="360" customWidth="1"/>
    <col min="9471" max="9471" width="38" style="360" customWidth="1"/>
    <col min="9472" max="9472" width="8.42578125" style="360" customWidth="1"/>
    <col min="9473" max="9473" width="15.7109375" style="360" customWidth="1"/>
    <col min="9474" max="9474" width="18.28515625" style="360" customWidth="1"/>
    <col min="9475" max="9475" width="17.85546875" style="360" customWidth="1"/>
    <col min="9476" max="9476" width="0" style="360" hidden="1" customWidth="1"/>
    <col min="9477" max="9477" width="33.28515625" style="360" customWidth="1"/>
    <col min="9478" max="9725" width="10.7109375" style="360"/>
    <col min="9726" max="9726" width="13.140625" style="360" customWidth="1"/>
    <col min="9727" max="9727" width="38" style="360" customWidth="1"/>
    <col min="9728" max="9728" width="8.42578125" style="360" customWidth="1"/>
    <col min="9729" max="9729" width="15.7109375" style="360" customWidth="1"/>
    <col min="9730" max="9730" width="18.28515625" style="360" customWidth="1"/>
    <col min="9731" max="9731" width="17.85546875" style="360" customWidth="1"/>
    <col min="9732" max="9732" width="0" style="360" hidden="1" customWidth="1"/>
    <col min="9733" max="9733" width="33.28515625" style="360" customWidth="1"/>
    <col min="9734" max="9981" width="10.7109375" style="360"/>
    <col min="9982" max="9982" width="13.140625" style="360" customWidth="1"/>
    <col min="9983" max="9983" width="38" style="360" customWidth="1"/>
    <col min="9984" max="9984" width="8.42578125" style="360" customWidth="1"/>
    <col min="9985" max="9985" width="15.7109375" style="360" customWidth="1"/>
    <col min="9986" max="9986" width="18.28515625" style="360" customWidth="1"/>
    <col min="9987" max="9987" width="17.85546875" style="360" customWidth="1"/>
    <col min="9988" max="9988" width="0" style="360" hidden="1" customWidth="1"/>
    <col min="9989" max="9989" width="33.28515625" style="360" customWidth="1"/>
    <col min="9990" max="10237" width="10.7109375" style="360"/>
    <col min="10238" max="10238" width="13.140625" style="360" customWidth="1"/>
    <col min="10239" max="10239" width="38" style="360" customWidth="1"/>
    <col min="10240" max="10240" width="8.42578125" style="360" customWidth="1"/>
    <col min="10241" max="10241" width="15.7109375" style="360" customWidth="1"/>
    <col min="10242" max="10242" width="18.28515625" style="360" customWidth="1"/>
    <col min="10243" max="10243" width="17.85546875" style="360" customWidth="1"/>
    <col min="10244" max="10244" width="0" style="360" hidden="1" customWidth="1"/>
    <col min="10245" max="10245" width="33.28515625" style="360" customWidth="1"/>
    <col min="10246" max="10493" width="10.7109375" style="360"/>
    <col min="10494" max="10494" width="13.140625" style="360" customWidth="1"/>
    <col min="10495" max="10495" width="38" style="360" customWidth="1"/>
    <col min="10496" max="10496" width="8.42578125" style="360" customWidth="1"/>
    <col min="10497" max="10497" width="15.7109375" style="360" customWidth="1"/>
    <col min="10498" max="10498" width="18.28515625" style="360" customWidth="1"/>
    <col min="10499" max="10499" width="17.85546875" style="360" customWidth="1"/>
    <col min="10500" max="10500" width="0" style="360" hidden="1" customWidth="1"/>
    <col min="10501" max="10501" width="33.28515625" style="360" customWidth="1"/>
    <col min="10502" max="10749" width="10.7109375" style="360"/>
    <col min="10750" max="10750" width="13.140625" style="360" customWidth="1"/>
    <col min="10751" max="10751" width="38" style="360" customWidth="1"/>
    <col min="10752" max="10752" width="8.42578125" style="360" customWidth="1"/>
    <col min="10753" max="10753" width="15.7109375" style="360" customWidth="1"/>
    <col min="10754" max="10754" width="18.28515625" style="360" customWidth="1"/>
    <col min="10755" max="10755" width="17.85546875" style="360" customWidth="1"/>
    <col min="10756" max="10756" width="0" style="360" hidden="1" customWidth="1"/>
    <col min="10757" max="10757" width="33.28515625" style="360" customWidth="1"/>
    <col min="10758" max="11005" width="10.7109375" style="360"/>
    <col min="11006" max="11006" width="13.140625" style="360" customWidth="1"/>
    <col min="11007" max="11007" width="38" style="360" customWidth="1"/>
    <col min="11008" max="11008" width="8.42578125" style="360" customWidth="1"/>
    <col min="11009" max="11009" width="15.7109375" style="360" customWidth="1"/>
    <col min="11010" max="11010" width="18.28515625" style="360" customWidth="1"/>
    <col min="11011" max="11011" width="17.85546875" style="360" customWidth="1"/>
    <col min="11012" max="11012" width="0" style="360" hidden="1" customWidth="1"/>
    <col min="11013" max="11013" width="33.28515625" style="360" customWidth="1"/>
    <col min="11014" max="11261" width="10.7109375" style="360"/>
    <col min="11262" max="11262" width="13.140625" style="360" customWidth="1"/>
    <col min="11263" max="11263" width="38" style="360" customWidth="1"/>
    <col min="11264" max="11264" width="8.42578125" style="360" customWidth="1"/>
    <col min="11265" max="11265" width="15.7109375" style="360" customWidth="1"/>
    <col min="11266" max="11266" width="18.28515625" style="360" customWidth="1"/>
    <col min="11267" max="11267" width="17.85546875" style="360" customWidth="1"/>
    <col min="11268" max="11268" width="0" style="360" hidden="1" customWidth="1"/>
    <col min="11269" max="11269" width="33.28515625" style="360" customWidth="1"/>
    <col min="11270" max="11517" width="10.7109375" style="360"/>
    <col min="11518" max="11518" width="13.140625" style="360" customWidth="1"/>
    <col min="11519" max="11519" width="38" style="360" customWidth="1"/>
    <col min="11520" max="11520" width="8.42578125" style="360" customWidth="1"/>
    <col min="11521" max="11521" width="15.7109375" style="360" customWidth="1"/>
    <col min="11522" max="11522" width="18.28515625" style="360" customWidth="1"/>
    <col min="11523" max="11523" width="17.85546875" style="360" customWidth="1"/>
    <col min="11524" max="11524" width="0" style="360" hidden="1" customWidth="1"/>
    <col min="11525" max="11525" width="33.28515625" style="360" customWidth="1"/>
    <col min="11526" max="11773" width="10.7109375" style="360"/>
    <col min="11774" max="11774" width="13.140625" style="360" customWidth="1"/>
    <col min="11775" max="11775" width="38" style="360" customWidth="1"/>
    <col min="11776" max="11776" width="8.42578125" style="360" customWidth="1"/>
    <col min="11777" max="11777" width="15.7109375" style="360" customWidth="1"/>
    <col min="11778" max="11778" width="18.28515625" style="360" customWidth="1"/>
    <col min="11779" max="11779" width="17.85546875" style="360" customWidth="1"/>
    <col min="11780" max="11780" width="0" style="360" hidden="1" customWidth="1"/>
    <col min="11781" max="11781" width="33.28515625" style="360" customWidth="1"/>
    <col min="11782" max="12029" width="10.7109375" style="360"/>
    <col min="12030" max="12030" width="13.140625" style="360" customWidth="1"/>
    <col min="12031" max="12031" width="38" style="360" customWidth="1"/>
    <col min="12032" max="12032" width="8.42578125" style="360" customWidth="1"/>
    <col min="12033" max="12033" width="15.7109375" style="360" customWidth="1"/>
    <col min="12034" max="12034" width="18.28515625" style="360" customWidth="1"/>
    <col min="12035" max="12035" width="17.85546875" style="360" customWidth="1"/>
    <col min="12036" max="12036" width="0" style="360" hidden="1" customWidth="1"/>
    <col min="12037" max="12037" width="33.28515625" style="360" customWidth="1"/>
    <col min="12038" max="12285" width="10.7109375" style="360"/>
    <col min="12286" max="12286" width="13.140625" style="360" customWidth="1"/>
    <col min="12287" max="12287" width="38" style="360" customWidth="1"/>
    <col min="12288" max="12288" width="8.42578125" style="360" customWidth="1"/>
    <col min="12289" max="12289" width="15.7109375" style="360" customWidth="1"/>
    <col min="12290" max="12290" width="18.28515625" style="360" customWidth="1"/>
    <col min="12291" max="12291" width="17.85546875" style="360" customWidth="1"/>
    <col min="12292" max="12292" width="0" style="360" hidden="1" customWidth="1"/>
    <col min="12293" max="12293" width="33.28515625" style="360" customWidth="1"/>
    <col min="12294" max="12541" width="10.7109375" style="360"/>
    <col min="12542" max="12542" width="13.140625" style="360" customWidth="1"/>
    <col min="12543" max="12543" width="38" style="360" customWidth="1"/>
    <col min="12544" max="12544" width="8.42578125" style="360" customWidth="1"/>
    <col min="12545" max="12545" width="15.7109375" style="360" customWidth="1"/>
    <col min="12546" max="12546" width="18.28515625" style="360" customWidth="1"/>
    <col min="12547" max="12547" width="17.85546875" style="360" customWidth="1"/>
    <col min="12548" max="12548" width="0" style="360" hidden="1" customWidth="1"/>
    <col min="12549" max="12549" width="33.28515625" style="360" customWidth="1"/>
    <col min="12550" max="12797" width="10.7109375" style="360"/>
    <col min="12798" max="12798" width="13.140625" style="360" customWidth="1"/>
    <col min="12799" max="12799" width="38" style="360" customWidth="1"/>
    <col min="12800" max="12800" width="8.42578125" style="360" customWidth="1"/>
    <col min="12801" max="12801" width="15.7109375" style="360" customWidth="1"/>
    <col min="12802" max="12802" width="18.28515625" style="360" customWidth="1"/>
    <col min="12803" max="12803" width="17.85546875" style="360" customWidth="1"/>
    <col min="12804" max="12804" width="0" style="360" hidden="1" customWidth="1"/>
    <col min="12805" max="12805" width="33.28515625" style="360" customWidth="1"/>
    <col min="12806" max="13053" width="10.7109375" style="360"/>
    <col min="13054" max="13054" width="13.140625" style="360" customWidth="1"/>
    <col min="13055" max="13055" width="38" style="360" customWidth="1"/>
    <col min="13056" max="13056" width="8.42578125" style="360" customWidth="1"/>
    <col min="13057" max="13057" width="15.7109375" style="360" customWidth="1"/>
    <col min="13058" max="13058" width="18.28515625" style="360" customWidth="1"/>
    <col min="13059" max="13059" width="17.85546875" style="360" customWidth="1"/>
    <col min="13060" max="13060" width="0" style="360" hidden="1" customWidth="1"/>
    <col min="13061" max="13061" width="33.28515625" style="360" customWidth="1"/>
    <col min="13062" max="13309" width="10.7109375" style="360"/>
    <col min="13310" max="13310" width="13.140625" style="360" customWidth="1"/>
    <col min="13311" max="13311" width="38" style="360" customWidth="1"/>
    <col min="13312" max="13312" width="8.42578125" style="360" customWidth="1"/>
    <col min="13313" max="13313" width="15.7109375" style="360" customWidth="1"/>
    <col min="13314" max="13314" width="18.28515625" style="360" customWidth="1"/>
    <col min="13315" max="13315" width="17.85546875" style="360" customWidth="1"/>
    <col min="13316" max="13316" width="0" style="360" hidden="1" customWidth="1"/>
    <col min="13317" max="13317" width="33.28515625" style="360" customWidth="1"/>
    <col min="13318" max="13565" width="10.7109375" style="360"/>
    <col min="13566" max="13566" width="13.140625" style="360" customWidth="1"/>
    <col min="13567" max="13567" width="38" style="360" customWidth="1"/>
    <col min="13568" max="13568" width="8.42578125" style="360" customWidth="1"/>
    <col min="13569" max="13569" width="15.7109375" style="360" customWidth="1"/>
    <col min="13570" max="13570" width="18.28515625" style="360" customWidth="1"/>
    <col min="13571" max="13571" width="17.85546875" style="360" customWidth="1"/>
    <col min="13572" max="13572" width="0" style="360" hidden="1" customWidth="1"/>
    <col min="13573" max="13573" width="33.28515625" style="360" customWidth="1"/>
    <col min="13574" max="13821" width="10.7109375" style="360"/>
    <col min="13822" max="13822" width="13.140625" style="360" customWidth="1"/>
    <col min="13823" max="13823" width="38" style="360" customWidth="1"/>
    <col min="13824" max="13824" width="8.42578125" style="360" customWidth="1"/>
    <col min="13825" max="13825" width="15.7109375" style="360" customWidth="1"/>
    <col min="13826" max="13826" width="18.28515625" style="360" customWidth="1"/>
    <col min="13827" max="13827" width="17.85546875" style="360" customWidth="1"/>
    <col min="13828" max="13828" width="0" style="360" hidden="1" customWidth="1"/>
    <col min="13829" max="13829" width="33.28515625" style="360" customWidth="1"/>
    <col min="13830" max="14077" width="10.7109375" style="360"/>
    <col min="14078" max="14078" width="13.140625" style="360" customWidth="1"/>
    <col min="14079" max="14079" width="38" style="360" customWidth="1"/>
    <col min="14080" max="14080" width="8.42578125" style="360" customWidth="1"/>
    <col min="14081" max="14081" width="15.7109375" style="360" customWidth="1"/>
    <col min="14082" max="14082" width="18.28515625" style="360" customWidth="1"/>
    <col min="14083" max="14083" width="17.85546875" style="360" customWidth="1"/>
    <col min="14084" max="14084" width="0" style="360" hidden="1" customWidth="1"/>
    <col min="14085" max="14085" width="33.28515625" style="360" customWidth="1"/>
    <col min="14086" max="14333" width="10.7109375" style="360"/>
    <col min="14334" max="14334" width="13.140625" style="360" customWidth="1"/>
    <col min="14335" max="14335" width="38" style="360" customWidth="1"/>
    <col min="14336" max="14336" width="8.42578125" style="360" customWidth="1"/>
    <col min="14337" max="14337" width="15.7109375" style="360" customWidth="1"/>
    <col min="14338" max="14338" width="18.28515625" style="360" customWidth="1"/>
    <col min="14339" max="14339" width="17.85546875" style="360" customWidth="1"/>
    <col min="14340" max="14340" width="0" style="360" hidden="1" customWidth="1"/>
    <col min="14341" max="14341" width="33.28515625" style="360" customWidth="1"/>
    <col min="14342" max="14589" width="10.7109375" style="360"/>
    <col min="14590" max="14590" width="13.140625" style="360" customWidth="1"/>
    <col min="14591" max="14591" width="38" style="360" customWidth="1"/>
    <col min="14592" max="14592" width="8.42578125" style="360" customWidth="1"/>
    <col min="14593" max="14593" width="15.7109375" style="360" customWidth="1"/>
    <col min="14594" max="14594" width="18.28515625" style="360" customWidth="1"/>
    <col min="14595" max="14595" width="17.85546875" style="360" customWidth="1"/>
    <col min="14596" max="14596" width="0" style="360" hidden="1" customWidth="1"/>
    <col min="14597" max="14597" width="33.28515625" style="360" customWidth="1"/>
    <col min="14598" max="14845" width="10.7109375" style="360"/>
    <col min="14846" max="14846" width="13.140625" style="360" customWidth="1"/>
    <col min="14847" max="14847" width="38" style="360" customWidth="1"/>
    <col min="14848" max="14848" width="8.42578125" style="360" customWidth="1"/>
    <col min="14849" max="14849" width="15.7109375" style="360" customWidth="1"/>
    <col min="14850" max="14850" width="18.28515625" style="360" customWidth="1"/>
    <col min="14851" max="14851" width="17.85546875" style="360" customWidth="1"/>
    <col min="14852" max="14852" width="0" style="360" hidden="1" customWidth="1"/>
    <col min="14853" max="14853" width="33.28515625" style="360" customWidth="1"/>
    <col min="14854" max="15101" width="10.7109375" style="360"/>
    <col min="15102" max="15102" width="13.140625" style="360" customWidth="1"/>
    <col min="15103" max="15103" width="38" style="360" customWidth="1"/>
    <col min="15104" max="15104" width="8.42578125" style="360" customWidth="1"/>
    <col min="15105" max="15105" width="15.7109375" style="360" customWidth="1"/>
    <col min="15106" max="15106" width="18.28515625" style="360" customWidth="1"/>
    <col min="15107" max="15107" width="17.85546875" style="360" customWidth="1"/>
    <col min="15108" max="15108" width="0" style="360" hidden="1" customWidth="1"/>
    <col min="15109" max="15109" width="33.28515625" style="360" customWidth="1"/>
    <col min="15110" max="15357" width="10.7109375" style="360"/>
    <col min="15358" max="15358" width="13.140625" style="360" customWidth="1"/>
    <col min="15359" max="15359" width="38" style="360" customWidth="1"/>
    <col min="15360" max="15360" width="8.42578125" style="360" customWidth="1"/>
    <col min="15361" max="15361" width="15.7109375" style="360" customWidth="1"/>
    <col min="15362" max="15362" width="18.28515625" style="360" customWidth="1"/>
    <col min="15363" max="15363" width="17.85546875" style="360" customWidth="1"/>
    <col min="15364" max="15364" width="0" style="360" hidden="1" customWidth="1"/>
    <col min="15365" max="15365" width="33.28515625" style="360" customWidth="1"/>
    <col min="15366" max="15613" width="10.7109375" style="360"/>
    <col min="15614" max="15614" width="13.140625" style="360" customWidth="1"/>
    <col min="15615" max="15615" width="38" style="360" customWidth="1"/>
    <col min="15616" max="15616" width="8.42578125" style="360" customWidth="1"/>
    <col min="15617" max="15617" width="15.7109375" style="360" customWidth="1"/>
    <col min="15618" max="15618" width="18.28515625" style="360" customWidth="1"/>
    <col min="15619" max="15619" width="17.85546875" style="360" customWidth="1"/>
    <col min="15620" max="15620" width="0" style="360" hidden="1" customWidth="1"/>
    <col min="15621" max="15621" width="33.28515625" style="360" customWidth="1"/>
    <col min="15622" max="15869" width="10.7109375" style="360"/>
    <col min="15870" max="15870" width="13.140625" style="360" customWidth="1"/>
    <col min="15871" max="15871" width="38" style="360" customWidth="1"/>
    <col min="15872" max="15872" width="8.42578125" style="360" customWidth="1"/>
    <col min="15873" max="15873" width="15.7109375" style="360" customWidth="1"/>
    <col min="15874" max="15874" width="18.28515625" style="360" customWidth="1"/>
    <col min="15875" max="15875" width="17.85546875" style="360" customWidth="1"/>
    <col min="15876" max="15876" width="0" style="360" hidden="1" customWidth="1"/>
    <col min="15877" max="15877" width="33.28515625" style="360" customWidth="1"/>
    <col min="15878" max="16125" width="10.7109375" style="360"/>
    <col min="16126" max="16126" width="13.140625" style="360" customWidth="1"/>
    <col min="16127" max="16127" width="38" style="360" customWidth="1"/>
    <col min="16128" max="16128" width="8.42578125" style="360" customWidth="1"/>
    <col min="16129" max="16129" width="15.7109375" style="360" customWidth="1"/>
    <col min="16130" max="16130" width="18.28515625" style="360" customWidth="1"/>
    <col min="16131" max="16131" width="17.85546875" style="360" customWidth="1"/>
    <col min="16132" max="16132" width="0" style="360" hidden="1" customWidth="1"/>
    <col min="16133" max="16133" width="33.28515625" style="360" customWidth="1"/>
    <col min="16134" max="16384" width="10.7109375" style="360"/>
  </cols>
  <sheetData>
    <row r="1" spans="1:8" ht="13.9" x14ac:dyDescent="0.3">
      <c r="A1" s="547" t="str">
        <f>'07-DO'!B2</f>
        <v>PROIECT : Extindere infrastructură educațională – Centrul Școlar pentru Educație înclusivă „Constantin Pufan”</v>
      </c>
      <c r="B1" s="361"/>
      <c r="C1" s="357"/>
      <c r="D1" s="779"/>
      <c r="E1" s="358"/>
      <c r="F1" s="358"/>
      <c r="G1" s="359"/>
      <c r="H1" s="362"/>
    </row>
    <row r="2" spans="1:8" ht="13.15" x14ac:dyDescent="0.3">
      <c r="A2" s="361"/>
      <c r="B2" s="361"/>
      <c r="C2" s="357"/>
      <c r="D2" s="779"/>
      <c r="E2" s="358"/>
      <c r="F2" s="358"/>
      <c r="G2" s="359"/>
      <c r="H2" s="362"/>
    </row>
    <row r="3" spans="1:8" ht="13.15" x14ac:dyDescent="0.3">
      <c r="A3" s="359"/>
      <c r="B3" s="359"/>
      <c r="C3" s="357"/>
      <c r="D3" s="779"/>
      <c r="E3" s="358"/>
      <c r="F3" s="358"/>
      <c r="G3" s="359"/>
      <c r="H3" s="362"/>
    </row>
    <row r="4" spans="1:8" ht="13.15" x14ac:dyDescent="0.3">
      <c r="A4" s="1445" t="s">
        <v>1217</v>
      </c>
      <c r="B4" s="1445"/>
      <c r="C4" s="1445"/>
      <c r="D4" s="1445"/>
      <c r="E4" s="1445"/>
      <c r="F4" s="1445"/>
      <c r="G4" s="1445"/>
      <c r="H4" s="1445"/>
    </row>
    <row r="5" spans="1:8" ht="13.15" x14ac:dyDescent="0.3">
      <c r="A5" s="1445" t="s">
        <v>1455</v>
      </c>
      <c r="B5" s="1445"/>
      <c r="C5" s="1445"/>
      <c r="D5" s="1445"/>
      <c r="E5" s="1445"/>
      <c r="F5" s="1445"/>
      <c r="G5" s="1445"/>
      <c r="H5" s="1445"/>
    </row>
    <row r="6" spans="1:8" ht="13.15" x14ac:dyDescent="0.3">
      <c r="A6" s="1445" t="str">
        <f>DG!C66</f>
        <v>OBIECT 7 - Dotari specifice</v>
      </c>
      <c r="B6" s="1445"/>
      <c r="C6" s="1445"/>
      <c r="D6" s="1445"/>
      <c r="E6" s="1445"/>
      <c r="F6" s="1445"/>
      <c r="G6" s="1445"/>
      <c r="H6" s="1445"/>
    </row>
    <row r="7" spans="1:8" ht="13.15" x14ac:dyDescent="0.3">
      <c r="A7" s="762"/>
      <c r="B7" s="361"/>
      <c r="C7" s="762"/>
      <c r="D7" s="780"/>
      <c r="E7" s="560"/>
      <c r="F7" s="560"/>
      <c r="G7" s="762"/>
      <c r="H7" s="356"/>
    </row>
    <row r="8" spans="1:8" ht="13.15" x14ac:dyDescent="0.3">
      <c r="A8" s="359"/>
      <c r="B8" s="359"/>
      <c r="C8" s="357"/>
      <c r="D8" s="788">
        <v>1.1499999999999999</v>
      </c>
      <c r="E8" s="358"/>
      <c r="F8" s="358"/>
      <c r="G8" s="359"/>
      <c r="H8" s="362"/>
    </row>
    <row r="9" spans="1:8" ht="25.5" x14ac:dyDescent="0.25">
      <c r="A9" s="1446" t="s">
        <v>1179</v>
      </c>
      <c r="B9" s="1446" t="s">
        <v>1180</v>
      </c>
      <c r="C9" s="1446" t="s">
        <v>1181</v>
      </c>
      <c r="D9" s="1447" t="s">
        <v>1456</v>
      </c>
      <c r="E9" s="1448" t="s">
        <v>1456</v>
      </c>
      <c r="F9" s="763" t="s">
        <v>1183</v>
      </c>
      <c r="G9" s="1446" t="s">
        <v>1184</v>
      </c>
      <c r="H9" s="1446" t="s">
        <v>1185</v>
      </c>
    </row>
    <row r="10" spans="1:8" x14ac:dyDescent="0.25">
      <c r="A10" s="1446"/>
      <c r="B10" s="1446"/>
      <c r="C10" s="1446"/>
      <c r="D10" s="1447"/>
      <c r="E10" s="1448"/>
      <c r="F10" s="763" t="s">
        <v>1186</v>
      </c>
      <c r="G10" s="1446"/>
      <c r="H10" s="1446"/>
    </row>
    <row r="11" spans="1:8" ht="13.15" x14ac:dyDescent="0.3">
      <c r="A11" s="760">
        <v>1</v>
      </c>
      <c r="B11" s="760">
        <v>2</v>
      </c>
      <c r="C11" s="760">
        <v>3</v>
      </c>
      <c r="D11" s="778">
        <v>4</v>
      </c>
      <c r="E11" s="562">
        <v>4</v>
      </c>
      <c r="F11" s="562">
        <v>5</v>
      </c>
      <c r="G11" s="760">
        <v>7</v>
      </c>
      <c r="H11" s="760">
        <v>6</v>
      </c>
    </row>
    <row r="12" spans="1:8" ht="13.15" x14ac:dyDescent="0.3">
      <c r="A12" s="563" t="s">
        <v>1457</v>
      </c>
      <c r="B12" s="564"/>
      <c r="C12" s="565"/>
      <c r="D12" s="781"/>
      <c r="E12" s="565"/>
      <c r="F12" s="565"/>
      <c r="G12" s="565"/>
      <c r="H12" s="566"/>
    </row>
    <row r="13" spans="1:8" ht="13.15" x14ac:dyDescent="0.3">
      <c r="A13" s="364" t="s">
        <v>1469</v>
      </c>
      <c r="B13" s="530"/>
      <c r="C13" s="531"/>
      <c r="D13" s="783"/>
      <c r="E13" s="532">
        <f>D13*D8</f>
        <v>0</v>
      </c>
      <c r="F13" s="532">
        <f t="shared" ref="F13:F18" si="0">C13*E13</f>
        <v>0</v>
      </c>
      <c r="G13" s="530"/>
      <c r="H13" s="533"/>
    </row>
    <row r="14" spans="1:8" ht="13.15" x14ac:dyDescent="0.3">
      <c r="A14" s="364" t="s">
        <v>1470</v>
      </c>
      <c r="B14" s="530"/>
      <c r="C14" s="531"/>
      <c r="D14" s="783"/>
      <c r="E14" s="532"/>
      <c r="F14" s="532">
        <f t="shared" si="0"/>
        <v>0</v>
      </c>
      <c r="G14" s="530"/>
      <c r="H14" s="533"/>
    </row>
    <row r="15" spans="1:8" ht="13.15" x14ac:dyDescent="0.3">
      <c r="A15" s="364" t="s">
        <v>1471</v>
      </c>
      <c r="B15" s="530"/>
      <c r="C15" s="531"/>
      <c r="D15" s="783"/>
      <c r="E15" s="532"/>
      <c r="F15" s="532">
        <f t="shared" si="0"/>
        <v>0</v>
      </c>
      <c r="G15" s="530"/>
      <c r="H15" s="533"/>
    </row>
    <row r="16" spans="1:8" ht="13.15" x14ac:dyDescent="0.3">
      <c r="A16" s="364" t="s">
        <v>1472</v>
      </c>
      <c r="B16" s="530"/>
      <c r="C16" s="531"/>
      <c r="D16" s="783"/>
      <c r="E16" s="532"/>
      <c r="F16" s="532">
        <f t="shared" si="0"/>
        <v>0</v>
      </c>
      <c r="G16" s="530"/>
      <c r="H16" s="533"/>
    </row>
    <row r="17" spans="1:11" ht="13.15" x14ac:dyDescent="0.3">
      <c r="A17" s="364" t="s">
        <v>1473</v>
      </c>
      <c r="B17" s="530"/>
      <c r="C17" s="531"/>
      <c r="D17" s="783"/>
      <c r="E17" s="532"/>
      <c r="F17" s="532">
        <f t="shared" si="0"/>
        <v>0</v>
      </c>
      <c r="G17" s="530"/>
      <c r="H17" s="533"/>
    </row>
    <row r="18" spans="1:11" ht="13.15" x14ac:dyDescent="0.3">
      <c r="A18" s="364" t="s">
        <v>1474</v>
      </c>
      <c r="B18" s="530"/>
      <c r="C18" s="531"/>
      <c r="D18" s="783"/>
      <c r="E18" s="532"/>
      <c r="F18" s="532">
        <f t="shared" si="0"/>
        <v>0</v>
      </c>
      <c r="G18" s="530"/>
      <c r="H18" s="533"/>
    </row>
    <row r="19" spans="1:11" ht="13.15" x14ac:dyDescent="0.3">
      <c r="A19" s="563" t="s">
        <v>1481</v>
      </c>
      <c r="B19" s="564"/>
      <c r="C19" s="574"/>
      <c r="D19" s="772"/>
      <c r="E19" s="575"/>
      <c r="F19" s="575"/>
      <c r="G19" s="576"/>
      <c r="H19" s="577"/>
      <c r="I19" s="530"/>
    </row>
    <row r="20" spans="1:11" ht="14.45" x14ac:dyDescent="0.3">
      <c r="A20" s="366" t="s">
        <v>1482</v>
      </c>
      <c r="B20" s="549"/>
      <c r="C20" s="550"/>
      <c r="D20" s="783"/>
      <c r="E20" s="395"/>
      <c r="F20" s="369">
        <f>C20*D20</f>
        <v>0</v>
      </c>
      <c r="G20" s="551"/>
      <c r="H20" s="552"/>
      <c r="I20" s="553"/>
      <c r="K20" s="559"/>
    </row>
    <row r="21" spans="1:11" ht="14.45" x14ac:dyDescent="0.3">
      <c r="A21" s="366" t="s">
        <v>1483</v>
      </c>
      <c r="B21" s="549"/>
      <c r="C21" s="550"/>
      <c r="D21" s="783"/>
      <c r="E21" s="395"/>
      <c r="F21" s="369">
        <f>C21*D21</f>
        <v>0</v>
      </c>
      <c r="G21" s="551"/>
      <c r="H21" s="552"/>
      <c r="I21" s="553"/>
      <c r="K21" s="559"/>
    </row>
    <row r="22" spans="1:11" ht="13.15" x14ac:dyDescent="0.3">
      <c r="A22" s="1444"/>
      <c r="B22" s="1444"/>
      <c r="C22" s="1444"/>
      <c r="D22" s="1444"/>
      <c r="E22" s="761"/>
      <c r="F22" s="370">
        <f>SUM(F13:F21)</f>
        <v>0</v>
      </c>
      <c r="G22" s="1444" t="s">
        <v>1188</v>
      </c>
      <c r="H22" s="1444"/>
    </row>
    <row r="23" spans="1:11" ht="13.15" x14ac:dyDescent="0.3">
      <c r="A23" s="359"/>
      <c r="B23" s="359"/>
      <c r="C23" s="372"/>
      <c r="D23" s="779"/>
      <c r="E23" s="358"/>
      <c r="F23" s="358"/>
      <c r="G23" s="359"/>
      <c r="H23" s="362"/>
    </row>
    <row r="24" spans="1:11" ht="13.9" x14ac:dyDescent="0.25">
      <c r="A24" s="359"/>
      <c r="B24" s="359"/>
      <c r="C24" s="357"/>
      <c r="D24" s="779"/>
      <c r="E24" s="358"/>
      <c r="F24" s="358"/>
      <c r="G24" s="359"/>
      <c r="H24" s="44" t="s">
        <v>82</v>
      </c>
    </row>
    <row r="25" spans="1:11" ht="15" x14ac:dyDescent="0.25">
      <c r="A25" s="359"/>
      <c r="B25" s="359"/>
      <c r="C25" s="357"/>
      <c r="D25" s="779"/>
      <c r="E25" s="358"/>
      <c r="F25" s="358"/>
      <c r="G25" s="359"/>
      <c r="H25" s="45" t="s">
        <v>1448</v>
      </c>
    </row>
    <row r="26" spans="1:11" ht="13.9" x14ac:dyDescent="0.25">
      <c r="A26" s="359"/>
      <c r="B26" s="359"/>
      <c r="C26" s="357"/>
      <c r="D26" s="779"/>
      <c r="E26" s="358"/>
      <c r="F26" s="358"/>
      <c r="G26" s="359"/>
      <c r="H26" s="44" t="s">
        <v>1516</v>
      </c>
    </row>
    <row r="27" spans="1:11" ht="13.9" x14ac:dyDescent="0.25">
      <c r="A27" s="359"/>
      <c r="B27" s="359"/>
      <c r="C27" s="357"/>
      <c r="D27" s="779"/>
      <c r="E27" s="358"/>
      <c r="F27" s="358"/>
      <c r="G27" s="359"/>
      <c r="H27" s="45" t="s">
        <v>83</v>
      </c>
    </row>
    <row r="28" spans="1:11" ht="13.9" x14ac:dyDescent="0.25">
      <c r="A28" s="359"/>
      <c r="B28" s="359"/>
      <c r="C28" s="357"/>
      <c r="D28" s="779"/>
      <c r="E28" s="358"/>
      <c r="F28" s="358"/>
      <c r="G28" s="359"/>
      <c r="H28" s="45" t="s">
        <v>1517</v>
      </c>
    </row>
    <row r="29" spans="1:11" ht="13.15" x14ac:dyDescent="0.3">
      <c r="A29" s="359"/>
      <c r="B29" s="359"/>
      <c r="C29" s="357"/>
      <c r="D29" s="779"/>
      <c r="E29" s="358"/>
      <c r="F29" s="358"/>
      <c r="G29" s="359"/>
      <c r="H29" s="362"/>
    </row>
    <row r="31" spans="1:11" ht="13.15" x14ac:dyDescent="0.3">
      <c r="A31" s="378"/>
    </row>
    <row r="32" spans="1:11" ht="13.15" x14ac:dyDescent="0.3">
      <c r="A32" s="378"/>
      <c r="H32" s="389"/>
    </row>
    <row r="33" spans="1:13" ht="13.15" x14ac:dyDescent="0.3">
      <c r="A33" s="378"/>
    </row>
    <row r="34" spans="1:13" ht="13.15" x14ac:dyDescent="0.3">
      <c r="A34" s="378"/>
      <c r="H34" s="389"/>
    </row>
    <row r="35" spans="1:13" ht="13.15" x14ac:dyDescent="0.3">
      <c r="A35" s="378"/>
    </row>
    <row r="36" spans="1:13" ht="13.15" x14ac:dyDescent="0.3">
      <c r="A36" s="378"/>
      <c r="H36" s="389"/>
    </row>
    <row r="37" spans="1:13" x14ac:dyDescent="0.25">
      <c r="A37" s="378"/>
    </row>
    <row r="38" spans="1:13" x14ac:dyDescent="0.25">
      <c r="A38" s="378"/>
    </row>
    <row r="39" spans="1:13" x14ac:dyDescent="0.25">
      <c r="A39" s="378"/>
      <c r="H39" s="389"/>
    </row>
    <row r="40" spans="1:13" x14ac:dyDescent="0.25">
      <c r="A40" s="378"/>
      <c r="I40" s="374"/>
      <c r="J40" s="374"/>
      <c r="K40" s="374"/>
      <c r="L40" s="374"/>
      <c r="M40" s="374"/>
    </row>
    <row r="41" spans="1:13" x14ac:dyDescent="0.25">
      <c r="A41" s="378"/>
      <c r="H41" s="389"/>
      <c r="I41" s="374"/>
      <c r="J41" s="374"/>
      <c r="K41" s="374"/>
      <c r="L41" s="374"/>
      <c r="M41" s="374"/>
    </row>
    <row r="42" spans="1:13" x14ac:dyDescent="0.25">
      <c r="A42" s="378"/>
      <c r="I42" s="374"/>
      <c r="J42" s="374"/>
      <c r="K42" s="374"/>
      <c r="L42" s="374"/>
      <c r="M42" s="374"/>
    </row>
    <row r="43" spans="1:13" x14ac:dyDescent="0.25">
      <c r="A43" s="378"/>
      <c r="I43" s="374"/>
      <c r="J43" s="374"/>
      <c r="K43" s="374"/>
      <c r="L43" s="374"/>
      <c r="M43" s="374"/>
    </row>
    <row r="44" spans="1:13" x14ac:dyDescent="0.25">
      <c r="A44" s="378"/>
      <c r="H44" s="389"/>
      <c r="I44" s="374"/>
      <c r="J44" s="374"/>
      <c r="K44" s="374"/>
      <c r="L44" s="374"/>
      <c r="M44" s="374"/>
    </row>
    <row r="45" spans="1:13" x14ac:dyDescent="0.25">
      <c r="A45" s="378"/>
      <c r="B45" s="363"/>
      <c r="H45" s="389"/>
      <c r="I45" s="374"/>
      <c r="J45" s="374"/>
      <c r="K45" s="374"/>
      <c r="L45" s="374"/>
      <c r="M45" s="374"/>
    </row>
    <row r="46" spans="1:13" x14ac:dyDescent="0.25">
      <c r="A46" s="378"/>
      <c r="H46" s="389"/>
      <c r="I46" s="374"/>
      <c r="J46" s="374"/>
      <c r="K46" s="374"/>
      <c r="L46" s="374"/>
      <c r="M46" s="374"/>
    </row>
    <row r="47" spans="1:13" x14ac:dyDescent="0.25">
      <c r="A47" s="378"/>
      <c r="H47" s="389"/>
      <c r="I47" s="374"/>
      <c r="J47" s="374"/>
      <c r="K47" s="374"/>
      <c r="L47" s="374"/>
      <c r="M47" s="374"/>
    </row>
    <row r="48" spans="1:13" x14ac:dyDescent="0.25">
      <c r="A48" s="378"/>
      <c r="H48" s="389"/>
      <c r="I48" s="374"/>
      <c r="J48" s="374"/>
      <c r="K48" s="374"/>
      <c r="L48" s="374"/>
      <c r="M48" s="374"/>
    </row>
    <row r="49" spans="1:13" x14ac:dyDescent="0.25">
      <c r="A49" s="378"/>
      <c r="H49" s="389"/>
      <c r="I49" s="374"/>
      <c r="J49" s="374"/>
      <c r="K49" s="374"/>
      <c r="L49" s="374"/>
      <c r="M49" s="374"/>
    </row>
    <row r="50" spans="1:13" x14ac:dyDescent="0.25">
      <c r="A50" s="378"/>
      <c r="H50" s="389"/>
      <c r="I50" s="374"/>
      <c r="J50" s="374"/>
      <c r="K50" s="374"/>
      <c r="L50" s="374"/>
      <c r="M50" s="374"/>
    </row>
    <row r="51" spans="1:13" x14ac:dyDescent="0.25">
      <c r="A51" s="378"/>
      <c r="H51" s="389"/>
      <c r="I51" s="374"/>
      <c r="J51" s="374"/>
      <c r="K51" s="374"/>
      <c r="L51" s="374"/>
      <c r="M51" s="374"/>
    </row>
    <row r="52" spans="1:13" x14ac:dyDescent="0.25">
      <c r="A52" s="376"/>
      <c r="D52" s="786"/>
      <c r="E52" s="380"/>
      <c r="F52" s="380"/>
      <c r="G52" s="374"/>
      <c r="I52" s="374"/>
      <c r="J52" s="374"/>
      <c r="K52" s="374"/>
      <c r="L52" s="374"/>
      <c r="M52" s="374"/>
    </row>
    <row r="53" spans="1:13" x14ac:dyDescent="0.25">
      <c r="A53" s="376"/>
      <c r="D53" s="786"/>
      <c r="E53" s="380"/>
      <c r="F53" s="380"/>
      <c r="G53" s="374"/>
      <c r="I53" s="374"/>
      <c r="J53" s="374"/>
      <c r="K53" s="374"/>
      <c r="L53" s="374"/>
      <c r="M53" s="374"/>
    </row>
    <row r="54" spans="1:13" x14ac:dyDescent="0.25">
      <c r="D54" s="786"/>
      <c r="E54" s="380"/>
      <c r="F54" s="380"/>
      <c r="G54" s="374"/>
      <c r="I54" s="374"/>
      <c r="J54" s="374"/>
      <c r="K54" s="374"/>
      <c r="L54" s="374"/>
      <c r="M54" s="374"/>
    </row>
    <row r="55" spans="1:13" x14ac:dyDescent="0.25">
      <c r="D55" s="786"/>
      <c r="E55" s="380"/>
      <c r="F55" s="380"/>
      <c r="G55" s="374"/>
      <c r="I55" s="374"/>
      <c r="J55" s="374"/>
      <c r="K55" s="374"/>
      <c r="L55" s="374"/>
      <c r="M55" s="374"/>
    </row>
    <row r="56" spans="1:13" x14ac:dyDescent="0.25">
      <c r="A56" s="376"/>
      <c r="D56" s="786"/>
      <c r="E56" s="380"/>
      <c r="F56" s="380"/>
      <c r="G56" s="374"/>
      <c r="I56" s="374"/>
      <c r="J56" s="374"/>
      <c r="K56" s="374"/>
      <c r="L56" s="374"/>
      <c r="M56" s="374"/>
    </row>
    <row r="57" spans="1:13" x14ac:dyDescent="0.25">
      <c r="A57" s="376"/>
      <c r="D57" s="786"/>
      <c r="E57" s="380"/>
      <c r="F57" s="380"/>
      <c r="G57" s="374"/>
      <c r="I57" s="374"/>
      <c r="J57" s="374"/>
      <c r="K57" s="374"/>
      <c r="L57" s="374"/>
      <c r="M57" s="374"/>
    </row>
    <row r="58" spans="1:13" x14ac:dyDescent="0.25">
      <c r="A58" s="376"/>
      <c r="D58" s="786"/>
      <c r="E58" s="380"/>
      <c r="F58" s="380"/>
      <c r="G58" s="374"/>
      <c r="I58" s="374"/>
      <c r="J58" s="374"/>
      <c r="K58" s="374"/>
      <c r="L58" s="374"/>
      <c r="M58" s="374"/>
    </row>
    <row r="59" spans="1:13" x14ac:dyDescent="0.25">
      <c r="A59" s="376"/>
      <c r="D59" s="786"/>
      <c r="E59" s="380"/>
      <c r="F59" s="380"/>
      <c r="G59" s="374"/>
      <c r="I59" s="374"/>
      <c r="J59" s="374"/>
      <c r="K59" s="374"/>
      <c r="L59" s="374"/>
      <c r="M59" s="374"/>
    </row>
    <row r="60" spans="1:13" x14ac:dyDescent="0.25">
      <c r="A60" s="376"/>
      <c r="D60" s="786"/>
      <c r="E60" s="380"/>
      <c r="F60" s="380"/>
      <c r="G60" s="374"/>
      <c r="I60" s="374"/>
      <c r="J60" s="374"/>
      <c r="K60" s="374"/>
      <c r="L60" s="374"/>
      <c r="M60" s="374"/>
    </row>
    <row r="61" spans="1:13" x14ac:dyDescent="0.25">
      <c r="A61" s="376"/>
      <c r="D61" s="786"/>
      <c r="E61" s="380"/>
      <c r="F61" s="380"/>
      <c r="G61" s="374"/>
      <c r="I61" s="374"/>
      <c r="J61" s="374"/>
      <c r="K61" s="374"/>
      <c r="L61" s="374"/>
      <c r="M61" s="374"/>
    </row>
    <row r="62" spans="1:13" x14ac:dyDescent="0.25">
      <c r="A62" s="376"/>
      <c r="D62" s="786"/>
      <c r="E62" s="380"/>
      <c r="F62" s="380"/>
      <c r="G62" s="374"/>
      <c r="I62" s="374"/>
      <c r="J62" s="374"/>
      <c r="K62" s="374"/>
      <c r="L62" s="374"/>
      <c r="M62" s="374"/>
    </row>
    <row r="63" spans="1:13" x14ac:dyDescent="0.25">
      <c r="A63" s="376"/>
      <c r="D63" s="786"/>
      <c r="E63" s="380"/>
      <c r="F63" s="380"/>
      <c r="G63" s="374"/>
      <c r="I63" s="374"/>
      <c r="J63" s="374"/>
      <c r="K63" s="374"/>
      <c r="L63" s="374"/>
      <c r="M63" s="374"/>
    </row>
    <row r="64" spans="1:13" x14ac:dyDescent="0.25">
      <c r="A64" s="376"/>
      <c r="D64" s="786"/>
      <c r="E64" s="380"/>
      <c r="F64" s="380"/>
      <c r="G64" s="374"/>
      <c r="I64" s="374"/>
      <c r="J64" s="374"/>
      <c r="K64" s="374"/>
      <c r="L64" s="374"/>
      <c r="M64" s="374"/>
    </row>
    <row r="65" spans="1:13" x14ac:dyDescent="0.25">
      <c r="A65" s="376"/>
      <c r="D65" s="786"/>
      <c r="E65" s="380"/>
      <c r="F65" s="380"/>
      <c r="G65" s="374"/>
      <c r="I65" s="374"/>
      <c r="J65" s="374"/>
      <c r="K65" s="374"/>
      <c r="L65" s="374"/>
      <c r="M65" s="374"/>
    </row>
    <row r="66" spans="1:13" x14ac:dyDescent="0.25">
      <c r="A66" s="376"/>
      <c r="D66" s="786"/>
      <c r="E66" s="380"/>
      <c r="F66" s="380"/>
      <c r="G66" s="374"/>
      <c r="I66" s="374"/>
      <c r="J66" s="374"/>
      <c r="K66" s="374"/>
      <c r="L66" s="374"/>
      <c r="M66" s="374"/>
    </row>
    <row r="67" spans="1:13" x14ac:dyDescent="0.25">
      <c r="A67" s="376"/>
      <c r="D67" s="786"/>
      <c r="E67" s="380"/>
      <c r="F67" s="380"/>
      <c r="G67" s="374"/>
      <c r="I67" s="374"/>
      <c r="J67" s="374"/>
      <c r="K67" s="374"/>
      <c r="L67" s="374"/>
      <c r="M67" s="374"/>
    </row>
    <row r="68" spans="1:13" x14ac:dyDescent="0.25">
      <c r="A68" s="376"/>
      <c r="D68" s="786"/>
      <c r="E68" s="380"/>
      <c r="F68" s="380"/>
      <c r="G68" s="374"/>
      <c r="I68" s="374"/>
      <c r="J68" s="374"/>
      <c r="K68" s="374"/>
      <c r="L68" s="374"/>
      <c r="M68" s="374"/>
    </row>
    <row r="69" spans="1:13" x14ac:dyDescent="0.25">
      <c r="A69" s="376"/>
      <c r="D69" s="786"/>
      <c r="E69" s="380"/>
      <c r="F69" s="380"/>
      <c r="G69" s="374"/>
      <c r="I69" s="374"/>
      <c r="J69" s="374"/>
      <c r="K69" s="374"/>
      <c r="L69" s="374"/>
      <c r="M69" s="374"/>
    </row>
    <row r="70" spans="1:13" x14ac:dyDescent="0.25">
      <c r="A70" s="376"/>
      <c r="D70" s="786"/>
      <c r="E70" s="380"/>
      <c r="F70" s="380"/>
      <c r="G70" s="374"/>
      <c r="I70" s="374"/>
      <c r="J70" s="374"/>
      <c r="K70" s="374"/>
      <c r="L70" s="374"/>
      <c r="M70" s="374"/>
    </row>
    <row r="71" spans="1:13" x14ac:dyDescent="0.25">
      <c r="A71" s="376"/>
      <c r="D71" s="786"/>
      <c r="E71" s="380"/>
      <c r="F71" s="380"/>
      <c r="G71" s="374"/>
      <c r="I71" s="374"/>
      <c r="J71" s="374"/>
      <c r="K71" s="374"/>
      <c r="L71" s="374"/>
      <c r="M71" s="374"/>
    </row>
    <row r="72" spans="1:13" x14ac:dyDescent="0.25">
      <c r="D72" s="786"/>
      <c r="E72" s="380"/>
      <c r="F72" s="380"/>
      <c r="G72" s="374"/>
      <c r="I72" s="374"/>
      <c r="J72" s="374"/>
      <c r="K72" s="374"/>
      <c r="L72" s="374"/>
      <c r="M72" s="374"/>
    </row>
    <row r="73" spans="1:13" x14ac:dyDescent="0.25">
      <c r="D73" s="786"/>
      <c r="E73" s="380"/>
      <c r="F73" s="380"/>
      <c r="G73" s="374"/>
      <c r="I73" s="374"/>
      <c r="J73" s="374"/>
      <c r="K73" s="374"/>
      <c r="L73" s="374"/>
      <c r="M73" s="374"/>
    </row>
    <row r="74" spans="1:13" x14ac:dyDescent="0.25">
      <c r="D74" s="786"/>
      <c r="E74" s="380"/>
      <c r="F74" s="380"/>
      <c r="G74" s="374"/>
      <c r="I74" s="374"/>
      <c r="J74" s="374"/>
      <c r="K74" s="374"/>
      <c r="L74" s="374"/>
      <c r="M74" s="374"/>
    </row>
    <row r="75" spans="1:13" x14ac:dyDescent="0.25">
      <c r="A75" s="376"/>
      <c r="D75" s="786"/>
      <c r="E75" s="380"/>
      <c r="F75" s="380"/>
      <c r="G75" s="374"/>
      <c r="I75" s="374"/>
      <c r="J75" s="374"/>
      <c r="K75" s="374"/>
      <c r="L75" s="374"/>
      <c r="M75" s="374"/>
    </row>
    <row r="76" spans="1:13" x14ac:dyDescent="0.25">
      <c r="A76" s="376"/>
      <c r="D76" s="786"/>
      <c r="E76" s="380"/>
      <c r="F76" s="380"/>
      <c r="G76" s="374"/>
      <c r="I76" s="374"/>
      <c r="J76" s="374"/>
      <c r="K76" s="374"/>
      <c r="L76" s="374"/>
      <c r="M76" s="374"/>
    </row>
    <row r="77" spans="1:13" x14ac:dyDescent="0.25">
      <c r="A77" s="376"/>
      <c r="D77" s="786"/>
      <c r="E77" s="380"/>
      <c r="F77" s="380"/>
      <c r="G77" s="374"/>
      <c r="I77" s="374"/>
      <c r="J77" s="374"/>
      <c r="K77" s="374"/>
      <c r="L77" s="374"/>
      <c r="M77" s="374"/>
    </row>
    <row r="78" spans="1:13" x14ac:dyDescent="0.25">
      <c r="A78" s="376"/>
      <c r="D78" s="786"/>
      <c r="E78" s="380"/>
      <c r="F78" s="380"/>
      <c r="G78" s="374"/>
      <c r="I78" s="374"/>
      <c r="J78" s="374"/>
      <c r="K78" s="374"/>
      <c r="L78" s="374"/>
      <c r="M78" s="374"/>
    </row>
    <row r="79" spans="1:13" x14ac:dyDescent="0.25">
      <c r="A79" s="376"/>
      <c r="D79" s="786"/>
      <c r="E79" s="380"/>
      <c r="F79" s="380"/>
      <c r="G79" s="374"/>
      <c r="I79" s="374"/>
      <c r="J79" s="374"/>
      <c r="K79" s="374"/>
      <c r="L79" s="374"/>
      <c r="M79" s="374"/>
    </row>
    <row r="80" spans="1:13" x14ac:dyDescent="0.25">
      <c r="A80" s="376"/>
      <c r="D80" s="786"/>
      <c r="E80" s="380"/>
      <c r="F80" s="380"/>
      <c r="G80" s="374"/>
      <c r="I80" s="374"/>
      <c r="J80" s="374"/>
      <c r="K80" s="374"/>
      <c r="L80" s="374"/>
      <c r="M80" s="374"/>
    </row>
    <row r="81" spans="1:14" x14ac:dyDescent="0.25">
      <c r="A81" s="376"/>
      <c r="D81" s="786"/>
      <c r="E81" s="380"/>
      <c r="F81" s="380"/>
      <c r="G81" s="374"/>
      <c r="I81" s="374"/>
      <c r="J81" s="374"/>
      <c r="K81" s="374"/>
      <c r="L81" s="374"/>
      <c r="M81" s="374"/>
    </row>
    <row r="82" spans="1:14" x14ac:dyDescent="0.25">
      <c r="A82" s="376"/>
      <c r="D82" s="786"/>
      <c r="E82" s="380"/>
      <c r="F82" s="380"/>
      <c r="G82" s="374"/>
      <c r="I82" s="374"/>
      <c r="J82" s="374"/>
      <c r="K82" s="374"/>
      <c r="L82" s="374"/>
      <c r="M82" s="374"/>
    </row>
    <row r="83" spans="1:14" x14ac:dyDescent="0.25">
      <c r="D83" s="786"/>
      <c r="E83" s="380"/>
      <c r="F83" s="380"/>
      <c r="G83" s="374"/>
      <c r="I83" s="374"/>
      <c r="J83" s="374"/>
      <c r="K83" s="374"/>
      <c r="L83" s="374"/>
      <c r="M83" s="374"/>
    </row>
    <row r="84" spans="1:14" x14ac:dyDescent="0.25">
      <c r="C84" s="381"/>
      <c r="D84" s="787"/>
      <c r="E84" s="382"/>
    </row>
    <row r="85" spans="1:14" s="375" customFormat="1" x14ac:dyDescent="0.25">
      <c r="A85" s="376"/>
      <c r="B85" s="360"/>
      <c r="C85" s="381"/>
      <c r="D85" s="787"/>
      <c r="E85" s="382"/>
      <c r="G85" s="360"/>
      <c r="H85" s="373"/>
      <c r="I85" s="360"/>
      <c r="J85" s="360"/>
      <c r="K85" s="360"/>
      <c r="L85" s="360"/>
      <c r="M85" s="360"/>
      <c r="N85" s="360"/>
    </row>
    <row r="86" spans="1:14" s="375" customFormat="1" x14ac:dyDescent="0.25">
      <c r="A86" s="376"/>
      <c r="B86" s="360"/>
      <c r="C86" s="381"/>
      <c r="D86" s="787"/>
      <c r="E86" s="382"/>
      <c r="G86" s="360"/>
      <c r="H86" s="373"/>
      <c r="I86" s="360"/>
      <c r="J86" s="360"/>
      <c r="K86" s="360"/>
      <c r="L86" s="360"/>
      <c r="M86" s="360"/>
      <c r="N86" s="360"/>
    </row>
    <row r="87" spans="1:14" s="375" customFormat="1" x14ac:dyDescent="0.25">
      <c r="A87" s="376"/>
      <c r="B87" s="360"/>
      <c r="C87" s="381"/>
      <c r="D87" s="787"/>
      <c r="E87" s="382"/>
      <c r="G87" s="360"/>
      <c r="H87" s="373"/>
      <c r="I87" s="360"/>
      <c r="J87" s="360"/>
      <c r="K87" s="360"/>
      <c r="L87" s="360"/>
      <c r="M87" s="360"/>
      <c r="N87" s="360"/>
    </row>
    <row r="88" spans="1:14" s="375" customFormat="1" x14ac:dyDescent="0.25">
      <c r="A88" s="376"/>
      <c r="B88" s="360"/>
      <c r="C88" s="381"/>
      <c r="D88" s="787"/>
      <c r="E88" s="382"/>
      <c r="G88" s="360"/>
      <c r="H88" s="373"/>
      <c r="I88" s="360"/>
      <c r="J88" s="360"/>
      <c r="K88" s="360"/>
      <c r="L88" s="360"/>
      <c r="M88" s="360"/>
      <c r="N88" s="360"/>
    </row>
    <row r="89" spans="1:14" s="375" customFormat="1" x14ac:dyDescent="0.25">
      <c r="A89" s="376"/>
      <c r="B89" s="360"/>
      <c r="C89" s="381"/>
      <c r="D89" s="787"/>
      <c r="E89" s="382"/>
      <c r="G89" s="360"/>
      <c r="H89" s="373"/>
      <c r="I89" s="360"/>
      <c r="J89" s="360"/>
      <c r="K89" s="360"/>
      <c r="L89" s="360"/>
      <c r="M89" s="360"/>
      <c r="N89" s="360"/>
    </row>
    <row r="90" spans="1:14" s="375" customFormat="1" x14ac:dyDescent="0.25">
      <c r="A90" s="376"/>
      <c r="B90" s="360"/>
      <c r="C90" s="381"/>
      <c r="D90" s="787"/>
      <c r="E90" s="382"/>
      <c r="G90" s="360"/>
      <c r="H90" s="373"/>
      <c r="I90" s="360"/>
      <c r="J90" s="360"/>
      <c r="K90" s="360"/>
      <c r="L90" s="360"/>
      <c r="M90" s="360"/>
      <c r="N90" s="360"/>
    </row>
    <row r="91" spans="1:14" s="375" customFormat="1" x14ac:dyDescent="0.25">
      <c r="A91" s="376"/>
      <c r="B91" s="360"/>
      <c r="C91" s="374"/>
      <c r="D91" s="787"/>
      <c r="E91" s="382"/>
      <c r="G91" s="360"/>
      <c r="H91" s="373"/>
      <c r="I91" s="360"/>
      <c r="J91" s="360"/>
      <c r="K91" s="360"/>
      <c r="L91" s="360"/>
      <c r="M91" s="360"/>
      <c r="N91" s="360"/>
    </row>
    <row r="92" spans="1:14" s="375" customFormat="1" x14ac:dyDescent="0.25">
      <c r="A92" s="376"/>
      <c r="B92" s="360"/>
      <c r="C92" s="374"/>
      <c r="D92" s="787"/>
      <c r="E92" s="382"/>
      <c r="G92" s="360"/>
      <c r="H92" s="373"/>
      <c r="I92" s="360"/>
      <c r="J92" s="360"/>
      <c r="K92" s="360"/>
      <c r="L92" s="360"/>
      <c r="M92" s="360"/>
      <c r="N92" s="360"/>
    </row>
    <row r="93" spans="1:14" s="375" customFormat="1" x14ac:dyDescent="0.25">
      <c r="A93" s="376"/>
      <c r="B93" s="360"/>
      <c r="C93" s="381"/>
      <c r="D93" s="787"/>
      <c r="E93" s="382"/>
      <c r="G93" s="360"/>
      <c r="H93" s="373"/>
      <c r="I93" s="360"/>
      <c r="J93" s="360"/>
      <c r="K93" s="360"/>
      <c r="L93" s="360"/>
      <c r="M93" s="360"/>
      <c r="N93" s="360"/>
    </row>
    <row r="94" spans="1:14" s="375" customFormat="1" x14ac:dyDescent="0.25">
      <c r="A94" s="376"/>
      <c r="B94" s="360"/>
      <c r="C94" s="381"/>
      <c r="D94" s="787"/>
      <c r="E94" s="382"/>
      <c r="G94" s="360"/>
      <c r="H94" s="373"/>
      <c r="I94" s="360"/>
      <c r="J94" s="360"/>
      <c r="K94" s="360"/>
      <c r="L94" s="360"/>
      <c r="M94" s="360"/>
      <c r="N94" s="360"/>
    </row>
    <row r="95" spans="1:14" s="375" customFormat="1" x14ac:dyDescent="0.25">
      <c r="A95" s="376"/>
      <c r="B95" s="360"/>
      <c r="C95" s="381"/>
      <c r="D95" s="787"/>
      <c r="E95" s="382"/>
      <c r="G95" s="360"/>
      <c r="H95" s="373"/>
      <c r="I95" s="360"/>
      <c r="J95" s="360"/>
      <c r="K95" s="360"/>
      <c r="L95" s="360"/>
      <c r="M95" s="360"/>
      <c r="N95" s="360"/>
    </row>
    <row r="96" spans="1:14" s="375" customFormat="1" x14ac:dyDescent="0.25">
      <c r="A96" s="376"/>
      <c r="B96" s="360"/>
      <c r="C96" s="381"/>
      <c r="D96" s="787"/>
      <c r="E96" s="382"/>
      <c r="G96" s="360"/>
      <c r="H96" s="373"/>
      <c r="I96" s="360"/>
      <c r="J96" s="360"/>
      <c r="K96" s="360"/>
      <c r="L96" s="360"/>
      <c r="M96" s="360"/>
      <c r="N96" s="360"/>
    </row>
    <row r="97" spans="1:14" s="375" customFormat="1" x14ac:dyDescent="0.25">
      <c r="A97" s="376"/>
      <c r="B97" s="360"/>
      <c r="C97" s="381"/>
      <c r="D97" s="787"/>
      <c r="E97" s="382"/>
      <c r="G97" s="360"/>
      <c r="H97" s="373"/>
      <c r="I97" s="360"/>
      <c r="J97" s="360"/>
      <c r="K97" s="360"/>
      <c r="L97" s="360"/>
      <c r="M97" s="360"/>
      <c r="N97" s="360"/>
    </row>
    <row r="98" spans="1:14" s="375" customFormat="1" x14ac:dyDescent="0.25">
      <c r="A98" s="376"/>
      <c r="B98" s="360"/>
      <c r="C98" s="381"/>
      <c r="D98" s="787"/>
      <c r="E98" s="382"/>
      <c r="G98" s="360"/>
      <c r="H98" s="373"/>
      <c r="I98" s="360"/>
      <c r="J98" s="360"/>
      <c r="K98" s="360"/>
      <c r="L98" s="360"/>
      <c r="M98" s="360"/>
      <c r="N98" s="360"/>
    </row>
    <row r="99" spans="1:14" s="375" customFormat="1" x14ac:dyDescent="0.25">
      <c r="A99" s="360"/>
      <c r="B99" s="360"/>
      <c r="C99" s="381"/>
      <c r="D99" s="787"/>
      <c r="E99" s="382"/>
      <c r="G99" s="360"/>
      <c r="H99" s="373"/>
      <c r="I99" s="360"/>
      <c r="J99" s="360"/>
      <c r="K99" s="360"/>
      <c r="L99" s="360"/>
      <c r="M99" s="360"/>
      <c r="N99" s="360"/>
    </row>
    <row r="100" spans="1:14" s="375" customFormat="1" x14ac:dyDescent="0.25">
      <c r="A100" s="360"/>
      <c r="B100" s="360"/>
      <c r="C100" s="381"/>
      <c r="D100" s="787"/>
      <c r="E100" s="382"/>
      <c r="G100" s="360"/>
      <c r="H100" s="373"/>
      <c r="I100" s="360"/>
      <c r="J100" s="360"/>
      <c r="K100" s="360"/>
      <c r="L100" s="360"/>
      <c r="M100" s="360"/>
      <c r="N100" s="360"/>
    </row>
    <row r="101" spans="1:14" x14ac:dyDescent="0.25">
      <c r="C101" s="381"/>
      <c r="D101" s="787"/>
      <c r="E101" s="382"/>
    </row>
    <row r="102" spans="1:14" x14ac:dyDescent="0.25">
      <c r="C102" s="381"/>
      <c r="D102" s="787"/>
      <c r="E102" s="382"/>
    </row>
    <row r="103" spans="1:14" x14ac:dyDescent="0.25">
      <c r="C103" s="381"/>
      <c r="D103" s="787"/>
      <c r="E103" s="382"/>
    </row>
    <row r="104" spans="1:14" x14ac:dyDescent="0.25">
      <c r="C104" s="381"/>
      <c r="D104" s="787"/>
      <c r="E104" s="382"/>
    </row>
    <row r="105" spans="1:14" x14ac:dyDescent="0.25">
      <c r="C105" s="381"/>
      <c r="D105" s="787"/>
      <c r="E105" s="382"/>
    </row>
    <row r="106" spans="1:14" x14ac:dyDescent="0.25">
      <c r="C106" s="381"/>
      <c r="D106" s="787"/>
      <c r="E106" s="382"/>
    </row>
    <row r="107" spans="1:14" x14ac:dyDescent="0.25">
      <c r="C107" s="381"/>
      <c r="D107" s="787"/>
      <c r="E107" s="382"/>
    </row>
    <row r="108" spans="1:14" x14ac:dyDescent="0.25">
      <c r="C108" s="381"/>
      <c r="D108" s="787"/>
      <c r="E108" s="382"/>
    </row>
    <row r="109" spans="1:14" x14ac:dyDescent="0.25">
      <c r="C109" s="381"/>
      <c r="D109" s="787"/>
      <c r="E109" s="382"/>
    </row>
    <row r="110" spans="1:14" x14ac:dyDescent="0.25">
      <c r="A110" s="383"/>
      <c r="C110" s="384"/>
      <c r="D110" s="786"/>
      <c r="E110" s="380"/>
      <c r="G110" s="385"/>
      <c r="H110" s="386"/>
      <c r="I110" s="385"/>
      <c r="J110" s="385"/>
      <c r="K110" s="385"/>
      <c r="L110" s="385"/>
      <c r="M110" s="385"/>
    </row>
    <row r="111" spans="1:14" x14ac:dyDescent="0.25">
      <c r="A111" s="383"/>
      <c r="B111" s="385"/>
      <c r="C111" s="384"/>
      <c r="D111" s="786"/>
      <c r="E111" s="380"/>
      <c r="F111" s="380"/>
      <c r="G111" s="387"/>
      <c r="H111" s="569"/>
      <c r="I111" s="387"/>
      <c r="J111" s="387"/>
      <c r="K111" s="387"/>
      <c r="L111" s="387"/>
      <c r="M111" s="387"/>
    </row>
    <row r="112" spans="1:14" x14ac:dyDescent="0.25">
      <c r="A112" s="383"/>
      <c r="B112" s="385"/>
      <c r="C112" s="384"/>
      <c r="G112" s="385"/>
      <c r="H112" s="386"/>
      <c r="I112" s="385"/>
      <c r="J112" s="385"/>
      <c r="K112" s="385"/>
      <c r="L112" s="385"/>
      <c r="M112" s="385"/>
    </row>
    <row r="113" spans="1:13" x14ac:dyDescent="0.25">
      <c r="A113" s="383"/>
      <c r="B113" s="385"/>
      <c r="C113" s="384"/>
      <c r="G113" s="385"/>
      <c r="H113" s="386"/>
      <c r="I113" s="385"/>
      <c r="J113" s="385"/>
      <c r="K113" s="385"/>
      <c r="L113" s="385"/>
      <c r="M113" s="385"/>
    </row>
    <row r="114" spans="1:13" x14ac:dyDescent="0.25">
      <c r="A114" s="383"/>
      <c r="C114" s="384"/>
      <c r="G114" s="385"/>
      <c r="H114" s="386"/>
      <c r="I114" s="385"/>
      <c r="J114" s="385"/>
      <c r="K114" s="385"/>
      <c r="L114" s="385"/>
      <c r="M114" s="385"/>
    </row>
    <row r="115" spans="1:13" x14ac:dyDescent="0.25">
      <c r="A115" s="383"/>
      <c r="C115" s="384"/>
      <c r="G115" s="385"/>
      <c r="H115" s="386"/>
      <c r="I115" s="385"/>
      <c r="J115" s="385"/>
      <c r="K115" s="385"/>
      <c r="L115" s="385"/>
      <c r="M115" s="385"/>
    </row>
    <row r="116" spans="1:13" x14ac:dyDescent="0.25">
      <c r="A116" s="383"/>
      <c r="B116" s="570"/>
      <c r="C116" s="384"/>
      <c r="G116" s="385"/>
      <c r="H116" s="386"/>
      <c r="I116" s="385"/>
      <c r="J116" s="385"/>
      <c r="K116" s="385"/>
      <c r="L116" s="385"/>
      <c r="M116" s="385"/>
    </row>
    <row r="117" spans="1:13" x14ac:dyDescent="0.25">
      <c r="A117" s="383"/>
      <c r="C117" s="384"/>
      <c r="G117" s="385"/>
      <c r="H117" s="386"/>
      <c r="I117" s="385"/>
      <c r="J117" s="385"/>
      <c r="K117" s="385"/>
      <c r="L117" s="385"/>
      <c r="M117" s="385"/>
    </row>
    <row r="118" spans="1:13" x14ac:dyDescent="0.25">
      <c r="A118" s="383"/>
      <c r="B118" s="385"/>
      <c r="C118" s="384"/>
      <c r="G118" s="385"/>
      <c r="H118" s="386"/>
      <c r="I118" s="385"/>
      <c r="J118" s="385"/>
      <c r="K118" s="385"/>
      <c r="L118" s="385"/>
      <c r="M118" s="385"/>
    </row>
    <row r="119" spans="1:13" x14ac:dyDescent="0.25">
      <c r="A119" s="383"/>
      <c r="B119" s="385"/>
      <c r="C119" s="384"/>
      <c r="G119" s="385"/>
      <c r="H119" s="386"/>
      <c r="I119" s="385"/>
      <c r="J119" s="385"/>
      <c r="K119" s="385"/>
      <c r="L119" s="385"/>
      <c r="M119" s="385"/>
    </row>
    <row r="120" spans="1:13" x14ac:dyDescent="0.25">
      <c r="A120" s="383"/>
      <c r="B120" s="385"/>
      <c r="C120" s="384"/>
      <c r="G120" s="385"/>
      <c r="H120" s="386"/>
      <c r="I120" s="385"/>
      <c r="J120" s="385"/>
      <c r="K120" s="385"/>
      <c r="L120" s="385"/>
      <c r="M120" s="385"/>
    </row>
    <row r="121" spans="1:13" x14ac:dyDescent="0.25">
      <c r="A121" s="383"/>
      <c r="B121" s="385"/>
      <c r="C121" s="384"/>
      <c r="G121" s="385"/>
      <c r="H121" s="386"/>
      <c r="I121" s="385"/>
      <c r="J121" s="385"/>
      <c r="K121" s="385"/>
      <c r="L121" s="385"/>
      <c r="M121" s="385"/>
    </row>
    <row r="122" spans="1:13" x14ac:dyDescent="0.25">
      <c r="A122" s="383"/>
      <c r="B122" s="385"/>
      <c r="C122" s="384"/>
      <c r="G122" s="385"/>
      <c r="H122" s="386"/>
      <c r="I122" s="385"/>
      <c r="J122" s="385"/>
      <c r="K122" s="385"/>
      <c r="L122" s="385"/>
      <c r="M122" s="385"/>
    </row>
    <row r="123" spans="1:13" x14ac:dyDescent="0.25">
      <c r="A123" s="383"/>
      <c r="B123" s="385"/>
      <c r="C123" s="384"/>
      <c r="G123" s="385"/>
      <c r="H123" s="386"/>
      <c r="I123" s="385"/>
      <c r="J123" s="385"/>
      <c r="K123" s="385"/>
      <c r="L123" s="385"/>
      <c r="M123" s="385"/>
    </row>
    <row r="124" spans="1:13" x14ac:dyDescent="0.25">
      <c r="C124" s="384"/>
      <c r="G124" s="385"/>
      <c r="H124" s="386"/>
      <c r="I124" s="385"/>
      <c r="J124" s="385"/>
      <c r="K124" s="385"/>
      <c r="L124" s="385"/>
      <c r="M124" s="385"/>
    </row>
    <row r="125" spans="1:13" x14ac:dyDescent="0.25">
      <c r="B125" s="385"/>
      <c r="C125" s="384"/>
      <c r="G125" s="385"/>
      <c r="H125" s="386"/>
      <c r="I125" s="385"/>
      <c r="J125" s="385"/>
      <c r="K125" s="385"/>
      <c r="L125" s="385"/>
      <c r="M125" s="385"/>
    </row>
    <row r="126" spans="1:13" x14ac:dyDescent="0.25">
      <c r="B126" s="385"/>
      <c r="C126" s="384"/>
      <c r="G126" s="385"/>
      <c r="H126" s="386"/>
      <c r="I126" s="385"/>
      <c r="J126" s="385"/>
      <c r="K126" s="385"/>
      <c r="L126" s="385"/>
      <c r="M126" s="385"/>
    </row>
    <row r="127" spans="1:13" x14ac:dyDescent="0.25">
      <c r="B127" s="385"/>
      <c r="C127" s="384"/>
      <c r="G127" s="385"/>
      <c r="H127" s="386"/>
      <c r="I127" s="385"/>
      <c r="J127" s="385"/>
      <c r="K127" s="385"/>
      <c r="L127" s="385"/>
      <c r="M127" s="385"/>
    </row>
    <row r="128" spans="1:13" x14ac:dyDescent="0.25">
      <c r="B128" s="570"/>
      <c r="C128" s="384"/>
      <c r="G128" s="385"/>
      <c r="H128" s="386"/>
      <c r="I128" s="385"/>
      <c r="J128" s="385"/>
      <c r="K128" s="385"/>
      <c r="L128" s="385"/>
      <c r="M128" s="385"/>
    </row>
    <row r="129" spans="2:13" x14ac:dyDescent="0.25">
      <c r="B129" s="385"/>
      <c r="C129" s="384"/>
      <c r="G129" s="385"/>
      <c r="H129" s="386"/>
      <c r="I129" s="385"/>
      <c r="J129" s="385"/>
      <c r="K129" s="385"/>
      <c r="L129" s="385"/>
      <c r="M129" s="385"/>
    </row>
    <row r="130" spans="2:13" x14ac:dyDescent="0.25">
      <c r="B130" s="385"/>
      <c r="C130" s="384"/>
      <c r="G130" s="385"/>
      <c r="H130" s="386"/>
      <c r="I130" s="385"/>
      <c r="J130" s="385"/>
      <c r="K130" s="385"/>
      <c r="L130" s="385"/>
      <c r="M130" s="385"/>
    </row>
    <row r="131" spans="2:13" x14ac:dyDescent="0.25">
      <c r="B131" s="385"/>
      <c r="C131" s="384"/>
      <c r="G131" s="385"/>
      <c r="H131" s="386"/>
      <c r="I131" s="385"/>
      <c r="J131" s="385"/>
      <c r="K131" s="385"/>
      <c r="L131" s="385"/>
      <c r="M131" s="385"/>
    </row>
    <row r="132" spans="2:13" x14ac:dyDescent="0.25">
      <c r="B132" s="385"/>
      <c r="C132" s="384"/>
      <c r="G132" s="385"/>
      <c r="H132" s="386"/>
      <c r="I132" s="385"/>
      <c r="J132" s="385"/>
      <c r="K132" s="385"/>
      <c r="L132" s="385"/>
      <c r="M132" s="385"/>
    </row>
    <row r="133" spans="2:13" x14ac:dyDescent="0.25">
      <c r="B133" s="385"/>
      <c r="C133" s="384"/>
      <c r="G133" s="385"/>
      <c r="H133" s="386"/>
      <c r="I133" s="385"/>
      <c r="J133" s="385"/>
      <c r="K133" s="385"/>
      <c r="L133" s="385"/>
      <c r="M133" s="385"/>
    </row>
    <row r="134" spans="2:13" x14ac:dyDescent="0.25">
      <c r="B134" s="385"/>
      <c r="C134" s="384"/>
      <c r="G134" s="385"/>
      <c r="H134" s="386"/>
      <c r="I134" s="385"/>
      <c r="J134" s="385"/>
      <c r="K134" s="385"/>
      <c r="L134" s="385"/>
      <c r="M134" s="385"/>
    </row>
    <row r="135" spans="2:13" x14ac:dyDescent="0.25">
      <c r="B135" s="385"/>
      <c r="C135" s="384"/>
      <c r="G135" s="385"/>
      <c r="H135" s="386"/>
      <c r="I135" s="385"/>
      <c r="J135" s="385"/>
      <c r="K135" s="385"/>
      <c r="L135" s="385"/>
      <c r="M135" s="385"/>
    </row>
    <row r="136" spans="2:13" x14ac:dyDescent="0.25">
      <c r="B136" s="385"/>
      <c r="C136" s="384"/>
      <c r="G136" s="385"/>
      <c r="H136" s="386"/>
      <c r="I136" s="385"/>
      <c r="J136" s="385"/>
      <c r="K136" s="385"/>
      <c r="L136" s="385"/>
      <c r="M136" s="385"/>
    </row>
    <row r="137" spans="2:13" x14ac:dyDescent="0.25">
      <c r="B137" s="379"/>
      <c r="C137" s="384"/>
      <c r="G137" s="385"/>
      <c r="H137" s="386"/>
      <c r="I137" s="385"/>
      <c r="J137" s="385"/>
      <c r="K137" s="385"/>
      <c r="L137" s="385"/>
      <c r="M137" s="385"/>
    </row>
    <row r="138" spans="2:13" x14ac:dyDescent="0.25">
      <c r="C138" s="384"/>
      <c r="G138" s="385"/>
      <c r="H138" s="386"/>
      <c r="I138" s="385"/>
      <c r="J138" s="385"/>
      <c r="K138" s="385"/>
      <c r="L138" s="385"/>
      <c r="M138" s="385"/>
    </row>
    <row r="139" spans="2:13" x14ac:dyDescent="0.25">
      <c r="B139" s="379"/>
      <c r="C139" s="384"/>
      <c r="G139" s="385"/>
      <c r="H139" s="386"/>
      <c r="I139" s="385"/>
      <c r="J139" s="385"/>
      <c r="K139" s="385"/>
      <c r="L139" s="385"/>
      <c r="M139" s="385"/>
    </row>
    <row r="140" spans="2:13" x14ac:dyDescent="0.25">
      <c r="C140" s="384"/>
      <c r="G140" s="385"/>
      <c r="H140" s="386"/>
      <c r="I140" s="385"/>
      <c r="J140" s="385"/>
      <c r="K140" s="385"/>
      <c r="L140" s="385"/>
      <c r="M140" s="385"/>
    </row>
    <row r="141" spans="2:13" x14ac:dyDescent="0.25">
      <c r="B141" s="385"/>
      <c r="C141" s="384"/>
      <c r="G141" s="385"/>
      <c r="H141" s="386"/>
      <c r="I141" s="385"/>
      <c r="J141" s="385"/>
      <c r="K141" s="385"/>
      <c r="L141" s="385"/>
      <c r="M141" s="385"/>
    </row>
    <row r="142" spans="2:13" x14ac:dyDescent="0.25">
      <c r="B142" s="385"/>
      <c r="C142" s="384"/>
      <c r="G142" s="385"/>
      <c r="H142" s="386"/>
      <c r="I142" s="385"/>
      <c r="J142" s="385"/>
      <c r="K142" s="385"/>
      <c r="L142" s="385"/>
      <c r="M142" s="385"/>
    </row>
    <row r="143" spans="2:13" x14ac:dyDescent="0.25">
      <c r="B143" s="385"/>
      <c r="C143" s="384"/>
      <c r="G143" s="385"/>
      <c r="H143" s="386"/>
      <c r="I143" s="385"/>
      <c r="J143" s="385"/>
      <c r="K143" s="385"/>
      <c r="L143" s="385"/>
      <c r="M143" s="385"/>
    </row>
    <row r="144" spans="2:13" x14ac:dyDescent="0.25">
      <c r="B144" s="379"/>
      <c r="C144" s="384"/>
      <c r="G144" s="385"/>
      <c r="H144" s="386"/>
      <c r="I144" s="385"/>
      <c r="J144" s="385"/>
      <c r="K144" s="385"/>
      <c r="L144" s="385"/>
      <c r="M144" s="385"/>
    </row>
    <row r="145" spans="1:13" x14ac:dyDescent="0.25">
      <c r="C145" s="384"/>
      <c r="G145" s="385"/>
      <c r="H145" s="386"/>
      <c r="I145" s="385"/>
      <c r="J145" s="385"/>
      <c r="K145" s="385"/>
      <c r="L145" s="385"/>
      <c r="M145" s="385"/>
    </row>
    <row r="146" spans="1:13" x14ac:dyDescent="0.25">
      <c r="B146" s="385"/>
      <c r="C146" s="384"/>
      <c r="G146" s="385"/>
      <c r="H146" s="386"/>
      <c r="I146" s="385"/>
      <c r="J146" s="385"/>
      <c r="K146" s="385"/>
      <c r="L146" s="385"/>
      <c r="M146" s="385"/>
    </row>
    <row r="147" spans="1:13" x14ac:dyDescent="0.25">
      <c r="B147" s="385"/>
      <c r="C147" s="384"/>
      <c r="G147" s="385"/>
      <c r="H147" s="386"/>
      <c r="I147" s="385"/>
      <c r="J147" s="385"/>
      <c r="K147" s="385"/>
      <c r="L147" s="385"/>
      <c r="M147" s="385"/>
    </row>
    <row r="148" spans="1:13" x14ac:dyDescent="0.25">
      <c r="B148" s="379"/>
      <c r="C148" s="384"/>
      <c r="G148" s="385"/>
      <c r="H148" s="386"/>
      <c r="I148" s="385"/>
      <c r="J148" s="385"/>
      <c r="K148" s="385"/>
      <c r="L148" s="385"/>
      <c r="M148" s="385"/>
    </row>
    <row r="149" spans="1:13" x14ac:dyDescent="0.25">
      <c r="C149" s="384"/>
      <c r="G149" s="385"/>
      <c r="H149" s="386"/>
      <c r="I149" s="385"/>
      <c r="J149" s="385"/>
      <c r="K149" s="385"/>
      <c r="L149" s="385"/>
      <c r="M149" s="385"/>
    </row>
    <row r="150" spans="1:13" x14ac:dyDescent="0.25">
      <c r="B150" s="570"/>
      <c r="C150" s="390"/>
      <c r="G150" s="385"/>
      <c r="H150" s="386"/>
      <c r="I150" s="385"/>
      <c r="J150" s="385"/>
      <c r="K150" s="385"/>
      <c r="L150" s="385"/>
      <c r="M150" s="385"/>
    </row>
    <row r="151" spans="1:13" x14ac:dyDescent="0.25">
      <c r="B151" s="379"/>
      <c r="C151" s="384"/>
      <c r="G151" s="385"/>
      <c r="H151" s="386"/>
      <c r="I151" s="385"/>
      <c r="J151" s="385"/>
      <c r="K151" s="385"/>
      <c r="L151" s="385"/>
      <c r="M151" s="385"/>
    </row>
    <row r="152" spans="1:13" x14ac:dyDescent="0.25">
      <c r="B152" s="379"/>
      <c r="C152" s="384"/>
      <c r="G152" s="385"/>
      <c r="H152" s="386"/>
      <c r="I152" s="385"/>
      <c r="J152" s="385"/>
      <c r="K152" s="385"/>
      <c r="L152" s="385"/>
      <c r="M152" s="385"/>
    </row>
    <row r="153" spans="1:13" x14ac:dyDescent="0.25">
      <c r="C153" s="384"/>
      <c r="G153" s="385"/>
      <c r="H153" s="386"/>
      <c r="I153" s="385"/>
      <c r="J153" s="385"/>
      <c r="K153" s="385"/>
      <c r="L153" s="385"/>
      <c r="M153" s="385"/>
    </row>
    <row r="154" spans="1:13" x14ac:dyDescent="0.25">
      <c r="G154" s="385"/>
      <c r="H154" s="386"/>
      <c r="I154" s="385"/>
      <c r="J154" s="385"/>
      <c r="K154" s="385"/>
      <c r="L154" s="385"/>
      <c r="M154" s="385"/>
    </row>
    <row r="155" spans="1:13" x14ac:dyDescent="0.25">
      <c r="C155" s="390"/>
      <c r="G155" s="391"/>
      <c r="H155" s="571"/>
      <c r="I155" s="391"/>
      <c r="J155" s="391"/>
      <c r="K155" s="391"/>
      <c r="L155" s="391"/>
      <c r="M155" s="391"/>
    </row>
    <row r="156" spans="1:13" x14ac:dyDescent="0.25">
      <c r="C156" s="390"/>
      <c r="G156" s="391"/>
      <c r="H156" s="571"/>
      <c r="I156" s="391"/>
      <c r="J156" s="391"/>
      <c r="K156" s="391"/>
      <c r="L156" s="391"/>
      <c r="M156" s="391"/>
    </row>
    <row r="158" spans="1:13" x14ac:dyDescent="0.25">
      <c r="A158" s="381"/>
      <c r="C158" s="381"/>
      <c r="D158" s="787"/>
      <c r="E158" s="382"/>
    </row>
    <row r="159" spans="1:13" x14ac:dyDescent="0.25">
      <c r="B159" s="385"/>
      <c r="C159" s="384"/>
      <c r="D159" s="786"/>
      <c r="E159" s="380"/>
      <c r="G159" s="385"/>
      <c r="H159" s="386"/>
      <c r="I159" s="385"/>
      <c r="J159" s="385"/>
      <c r="K159" s="385"/>
      <c r="L159" s="385"/>
      <c r="M159" s="385"/>
    </row>
    <row r="160" spans="1:13" x14ac:dyDescent="0.25">
      <c r="B160" s="385"/>
      <c r="C160" s="384"/>
      <c r="D160" s="786"/>
      <c r="E160" s="380"/>
      <c r="F160" s="380"/>
      <c r="G160" s="387"/>
      <c r="H160" s="569"/>
      <c r="I160" s="387"/>
      <c r="J160" s="387"/>
      <c r="K160" s="387"/>
      <c r="L160" s="387"/>
      <c r="M160" s="387"/>
    </row>
    <row r="161" spans="2:13" x14ac:dyDescent="0.25">
      <c r="B161" s="385"/>
      <c r="C161" s="384"/>
      <c r="G161" s="385"/>
      <c r="H161" s="386"/>
      <c r="I161" s="385"/>
      <c r="J161" s="385"/>
      <c r="K161" s="385"/>
      <c r="L161" s="385"/>
      <c r="M161" s="385"/>
    </row>
    <row r="162" spans="2:13" x14ac:dyDescent="0.25">
      <c r="B162" s="385"/>
      <c r="C162" s="384"/>
      <c r="G162" s="385"/>
      <c r="H162" s="386"/>
      <c r="I162" s="385"/>
      <c r="J162" s="385"/>
      <c r="K162" s="385"/>
      <c r="L162" s="385"/>
      <c r="M162" s="385"/>
    </row>
    <row r="163" spans="2:13" x14ac:dyDescent="0.25">
      <c r="B163" s="385"/>
      <c r="C163" s="384"/>
      <c r="G163" s="385"/>
      <c r="H163" s="386"/>
      <c r="I163" s="385"/>
      <c r="J163" s="385"/>
      <c r="K163" s="385"/>
      <c r="L163" s="385"/>
      <c r="M163" s="385"/>
    </row>
    <row r="164" spans="2:13" x14ac:dyDescent="0.25">
      <c r="B164" s="385"/>
      <c r="C164" s="384"/>
      <c r="G164" s="385"/>
      <c r="H164" s="386"/>
      <c r="I164" s="385"/>
      <c r="J164" s="385"/>
      <c r="K164" s="385"/>
      <c r="L164" s="385"/>
      <c r="M164" s="385"/>
    </row>
    <row r="165" spans="2:13" x14ac:dyDescent="0.25">
      <c r="B165" s="570"/>
      <c r="C165" s="384"/>
      <c r="G165" s="385"/>
      <c r="H165" s="386"/>
      <c r="I165" s="385"/>
      <c r="J165" s="385"/>
      <c r="K165" s="385"/>
      <c r="L165" s="385"/>
      <c r="M165" s="385"/>
    </row>
    <row r="166" spans="2:13" x14ac:dyDescent="0.25">
      <c r="C166" s="384"/>
      <c r="G166" s="385"/>
      <c r="H166" s="386"/>
      <c r="I166" s="385"/>
      <c r="J166" s="385"/>
      <c r="K166" s="385"/>
      <c r="L166" s="385"/>
      <c r="M166" s="385"/>
    </row>
    <row r="167" spans="2:13" x14ac:dyDescent="0.25">
      <c r="B167" s="385"/>
      <c r="C167" s="384"/>
      <c r="G167" s="385"/>
      <c r="H167" s="386"/>
      <c r="I167" s="385"/>
      <c r="J167" s="385"/>
      <c r="K167" s="385"/>
      <c r="L167" s="385"/>
      <c r="M167" s="385"/>
    </row>
    <row r="168" spans="2:13" x14ac:dyDescent="0.25">
      <c r="B168" s="385"/>
      <c r="C168" s="384"/>
      <c r="G168" s="385"/>
      <c r="H168" s="386"/>
      <c r="I168" s="385"/>
      <c r="J168" s="385"/>
      <c r="K168" s="385"/>
      <c r="L168" s="385"/>
      <c r="M168" s="385"/>
    </row>
    <row r="169" spans="2:13" x14ac:dyDescent="0.25">
      <c r="B169" s="385"/>
      <c r="C169" s="384"/>
      <c r="G169" s="385"/>
      <c r="H169" s="386"/>
      <c r="I169" s="385"/>
      <c r="J169" s="385"/>
      <c r="K169" s="385"/>
      <c r="L169" s="385"/>
      <c r="M169" s="385"/>
    </row>
    <row r="170" spans="2:13" x14ac:dyDescent="0.25">
      <c r="B170" s="385"/>
      <c r="C170" s="384"/>
      <c r="G170" s="385"/>
      <c r="H170" s="386"/>
      <c r="I170" s="385"/>
      <c r="J170" s="385"/>
      <c r="K170" s="385"/>
      <c r="L170" s="385"/>
      <c r="M170" s="385"/>
    </row>
    <row r="171" spans="2:13" x14ac:dyDescent="0.25">
      <c r="C171" s="384"/>
      <c r="G171" s="385"/>
      <c r="H171" s="386"/>
      <c r="I171" s="385"/>
      <c r="J171" s="385"/>
      <c r="K171" s="385"/>
      <c r="L171" s="385"/>
      <c r="M171" s="385"/>
    </row>
    <row r="172" spans="2:13" x14ac:dyDescent="0.25">
      <c r="B172" s="385"/>
      <c r="C172" s="384"/>
      <c r="G172" s="385"/>
      <c r="H172" s="386"/>
      <c r="I172" s="385"/>
      <c r="J172" s="385"/>
      <c r="K172" s="385"/>
      <c r="L172" s="385"/>
      <c r="M172" s="385"/>
    </row>
    <row r="173" spans="2:13" x14ac:dyDescent="0.25">
      <c r="B173" s="385"/>
      <c r="C173" s="384"/>
      <c r="G173" s="385"/>
      <c r="H173" s="386"/>
      <c r="I173" s="385"/>
      <c r="J173" s="385"/>
      <c r="K173" s="385"/>
      <c r="L173" s="385"/>
      <c r="M173" s="385"/>
    </row>
    <row r="174" spans="2:13" x14ac:dyDescent="0.25">
      <c r="B174" s="385"/>
      <c r="C174" s="384"/>
      <c r="G174" s="385"/>
      <c r="H174" s="386"/>
      <c r="I174" s="385"/>
      <c r="J174" s="385"/>
      <c r="K174" s="385"/>
      <c r="L174" s="385"/>
      <c r="M174" s="385"/>
    </row>
    <row r="175" spans="2:13" x14ac:dyDescent="0.25">
      <c r="B175" s="570"/>
      <c r="C175" s="384"/>
      <c r="G175" s="385"/>
      <c r="H175" s="386"/>
      <c r="I175" s="385"/>
      <c r="J175" s="385"/>
      <c r="K175" s="385"/>
      <c r="L175" s="385"/>
      <c r="M175" s="385"/>
    </row>
    <row r="176" spans="2:13" x14ac:dyDescent="0.25">
      <c r="B176" s="385"/>
      <c r="C176" s="384"/>
      <c r="G176" s="385"/>
      <c r="H176" s="386"/>
      <c r="I176" s="385"/>
      <c r="J176" s="385"/>
      <c r="K176" s="385"/>
      <c r="L176" s="385"/>
      <c r="M176" s="385"/>
    </row>
    <row r="177" spans="2:13" x14ac:dyDescent="0.25">
      <c r="B177" s="385"/>
      <c r="C177" s="384"/>
      <c r="G177" s="385"/>
      <c r="H177" s="386"/>
      <c r="I177" s="385"/>
      <c r="J177" s="385"/>
      <c r="K177" s="385"/>
      <c r="L177" s="385"/>
      <c r="M177" s="385"/>
    </row>
    <row r="178" spans="2:13" x14ac:dyDescent="0.25">
      <c r="B178" s="385"/>
      <c r="C178" s="384"/>
      <c r="G178" s="385"/>
      <c r="H178" s="386"/>
      <c r="I178" s="385"/>
      <c r="J178" s="385"/>
      <c r="K178" s="385"/>
      <c r="L178" s="385"/>
      <c r="M178" s="385"/>
    </row>
    <row r="179" spans="2:13" x14ac:dyDescent="0.25">
      <c r="B179" s="385"/>
      <c r="C179" s="384"/>
      <c r="G179" s="385"/>
      <c r="H179" s="386"/>
      <c r="I179" s="385"/>
      <c r="J179" s="385"/>
      <c r="K179" s="385"/>
      <c r="L179" s="385"/>
      <c r="M179" s="385"/>
    </row>
    <row r="180" spans="2:13" x14ac:dyDescent="0.25">
      <c r="B180" s="385"/>
      <c r="C180" s="384"/>
      <c r="G180" s="385"/>
      <c r="H180" s="386"/>
      <c r="I180" s="385"/>
      <c r="J180" s="385"/>
      <c r="K180" s="385"/>
      <c r="L180" s="385"/>
      <c r="M180" s="385"/>
    </row>
    <row r="181" spans="2:13" x14ac:dyDescent="0.25">
      <c r="B181" s="385"/>
      <c r="C181" s="384"/>
      <c r="G181" s="385"/>
      <c r="H181" s="386"/>
      <c r="I181" s="385"/>
      <c r="J181" s="385"/>
      <c r="K181" s="385"/>
      <c r="L181" s="385"/>
      <c r="M181" s="385"/>
    </row>
    <row r="182" spans="2:13" x14ac:dyDescent="0.25">
      <c r="B182" s="385"/>
      <c r="C182" s="384"/>
      <c r="G182" s="385"/>
      <c r="H182" s="386"/>
      <c r="I182" s="385"/>
      <c r="J182" s="385"/>
      <c r="K182" s="385"/>
      <c r="L182" s="385"/>
      <c r="M182" s="385"/>
    </row>
    <row r="183" spans="2:13" x14ac:dyDescent="0.25">
      <c r="B183" s="385"/>
      <c r="C183" s="384"/>
      <c r="G183" s="385"/>
      <c r="H183" s="386"/>
      <c r="I183" s="385"/>
      <c r="J183" s="385"/>
      <c r="K183" s="385"/>
      <c r="L183" s="385"/>
      <c r="M183" s="385"/>
    </row>
    <row r="184" spans="2:13" x14ac:dyDescent="0.25">
      <c r="B184" s="379"/>
      <c r="C184" s="384"/>
      <c r="G184" s="385"/>
      <c r="H184" s="386"/>
      <c r="I184" s="385"/>
      <c r="J184" s="385"/>
      <c r="K184" s="385"/>
      <c r="L184" s="385"/>
      <c r="M184" s="385"/>
    </row>
    <row r="185" spans="2:13" x14ac:dyDescent="0.25">
      <c r="C185" s="384"/>
      <c r="G185" s="385"/>
      <c r="H185" s="386"/>
      <c r="I185" s="385"/>
      <c r="J185" s="385"/>
      <c r="K185" s="385"/>
      <c r="L185" s="385"/>
      <c r="M185" s="385"/>
    </row>
    <row r="186" spans="2:13" x14ac:dyDescent="0.25">
      <c r="B186" s="379"/>
      <c r="C186" s="384"/>
      <c r="G186" s="385"/>
      <c r="H186" s="386"/>
      <c r="I186" s="385"/>
      <c r="J186" s="385"/>
      <c r="K186" s="385"/>
      <c r="L186" s="385"/>
      <c r="M186" s="385"/>
    </row>
    <row r="187" spans="2:13" x14ac:dyDescent="0.25">
      <c r="C187" s="384"/>
      <c r="G187" s="385"/>
      <c r="H187" s="386"/>
      <c r="I187" s="385"/>
      <c r="J187" s="385"/>
      <c r="K187" s="385"/>
      <c r="L187" s="385"/>
      <c r="M187" s="385"/>
    </row>
    <row r="188" spans="2:13" x14ac:dyDescent="0.25">
      <c r="B188" s="385"/>
      <c r="C188" s="384"/>
      <c r="G188" s="385"/>
      <c r="H188" s="386"/>
      <c r="I188" s="385"/>
      <c r="J188" s="385"/>
      <c r="K188" s="385"/>
      <c r="L188" s="385"/>
      <c r="M188" s="385"/>
    </row>
    <row r="189" spans="2:13" x14ac:dyDescent="0.25">
      <c r="B189" s="385"/>
      <c r="C189" s="384"/>
      <c r="G189" s="385"/>
      <c r="H189" s="386"/>
      <c r="I189" s="385"/>
      <c r="J189" s="385"/>
      <c r="K189" s="385"/>
      <c r="L189" s="385"/>
      <c r="M189" s="385"/>
    </row>
    <row r="190" spans="2:13" x14ac:dyDescent="0.25">
      <c r="B190" s="385"/>
      <c r="C190" s="384"/>
      <c r="G190" s="385"/>
      <c r="H190" s="386"/>
      <c r="I190" s="385"/>
      <c r="J190" s="385"/>
      <c r="K190" s="385"/>
      <c r="L190" s="385"/>
      <c r="M190" s="385"/>
    </row>
    <row r="191" spans="2:13" x14ac:dyDescent="0.25">
      <c r="B191" s="379"/>
      <c r="C191" s="384"/>
      <c r="G191" s="385"/>
      <c r="H191" s="386"/>
      <c r="I191" s="385"/>
      <c r="J191" s="385"/>
      <c r="K191" s="385"/>
      <c r="L191" s="385"/>
      <c r="M191" s="385"/>
    </row>
    <row r="192" spans="2:13" x14ac:dyDescent="0.25">
      <c r="C192" s="384"/>
      <c r="G192" s="385"/>
      <c r="H192" s="386"/>
      <c r="I192" s="385"/>
      <c r="J192" s="385"/>
      <c r="K192" s="385"/>
      <c r="L192" s="385"/>
      <c r="M192" s="385"/>
    </row>
    <row r="193" spans="1:13" x14ac:dyDescent="0.25">
      <c r="B193" s="385"/>
      <c r="C193" s="384"/>
      <c r="G193" s="385"/>
      <c r="H193" s="386"/>
      <c r="I193" s="385"/>
      <c r="J193" s="385"/>
      <c r="K193" s="385"/>
      <c r="L193" s="385"/>
      <c r="M193" s="385"/>
    </row>
    <row r="194" spans="1:13" x14ac:dyDescent="0.25">
      <c r="B194" s="385"/>
      <c r="C194" s="384"/>
      <c r="G194" s="385"/>
      <c r="H194" s="386"/>
      <c r="I194" s="385"/>
      <c r="J194" s="385"/>
      <c r="K194" s="385"/>
      <c r="L194" s="385"/>
      <c r="M194" s="385"/>
    </row>
    <row r="195" spans="1:13" x14ac:dyDescent="0.25">
      <c r="B195" s="379"/>
      <c r="C195" s="384"/>
      <c r="G195" s="385"/>
      <c r="H195" s="386"/>
      <c r="I195" s="385"/>
      <c r="J195" s="385"/>
      <c r="K195" s="385"/>
      <c r="L195" s="385"/>
      <c r="M195" s="385"/>
    </row>
    <row r="196" spans="1:13" x14ac:dyDescent="0.25">
      <c r="C196" s="384"/>
      <c r="G196" s="385"/>
      <c r="H196" s="386"/>
      <c r="I196" s="385"/>
      <c r="J196" s="385"/>
      <c r="K196" s="385"/>
      <c r="L196" s="385"/>
      <c r="M196" s="385"/>
    </row>
    <row r="197" spans="1:13" x14ac:dyDescent="0.25">
      <c r="B197" s="570"/>
      <c r="C197" s="390"/>
      <c r="G197" s="385"/>
      <c r="H197" s="386"/>
      <c r="I197" s="385"/>
      <c r="J197" s="385"/>
      <c r="K197" s="385"/>
      <c r="L197" s="385"/>
      <c r="M197" s="385"/>
    </row>
    <row r="198" spans="1:13" x14ac:dyDescent="0.25">
      <c r="B198" s="379"/>
      <c r="C198" s="384"/>
      <c r="G198" s="385"/>
      <c r="H198" s="386"/>
      <c r="I198" s="385"/>
      <c r="J198" s="385"/>
      <c r="K198" s="385"/>
      <c r="L198" s="385"/>
      <c r="M198" s="385"/>
    </row>
    <row r="199" spans="1:13" x14ac:dyDescent="0.25">
      <c r="B199" s="379"/>
      <c r="C199" s="384"/>
      <c r="G199" s="385"/>
      <c r="H199" s="386"/>
      <c r="I199" s="385"/>
      <c r="J199" s="385"/>
      <c r="K199" s="385"/>
      <c r="L199" s="385"/>
      <c r="M199" s="385"/>
    </row>
    <row r="200" spans="1:13" x14ac:dyDescent="0.25">
      <c r="C200" s="390"/>
      <c r="G200" s="385"/>
      <c r="H200" s="386"/>
      <c r="I200" s="385"/>
      <c r="J200" s="385"/>
      <c r="K200" s="385"/>
      <c r="L200" s="385"/>
      <c r="M200" s="385"/>
    </row>
    <row r="201" spans="1:13" x14ac:dyDescent="0.25">
      <c r="G201" s="385"/>
      <c r="H201" s="386"/>
      <c r="I201" s="385"/>
      <c r="J201" s="385"/>
      <c r="K201" s="385"/>
      <c r="L201" s="385"/>
      <c r="M201" s="385"/>
    </row>
    <row r="202" spans="1:13" x14ac:dyDescent="0.25">
      <c r="K202" s="391"/>
      <c r="L202" s="391"/>
      <c r="M202" s="391"/>
    </row>
    <row r="204" spans="1:13" x14ac:dyDescent="0.25">
      <c r="A204" s="381"/>
      <c r="C204" s="381"/>
      <c r="D204" s="787"/>
      <c r="E204" s="382"/>
    </row>
    <row r="205" spans="1:13" x14ac:dyDescent="0.25">
      <c r="B205" s="385"/>
      <c r="C205" s="384"/>
      <c r="D205" s="786"/>
      <c r="E205" s="380"/>
      <c r="G205" s="385"/>
      <c r="H205" s="386"/>
      <c r="I205" s="385"/>
      <c r="J205" s="385"/>
      <c r="K205" s="385"/>
      <c r="L205" s="385"/>
      <c r="M205" s="385"/>
    </row>
    <row r="206" spans="1:13" x14ac:dyDescent="0.25">
      <c r="B206" s="385"/>
      <c r="C206" s="384"/>
      <c r="D206" s="786"/>
      <c r="E206" s="380"/>
      <c r="F206" s="380"/>
      <c r="G206" s="387"/>
      <c r="H206" s="569"/>
      <c r="I206" s="387"/>
      <c r="J206" s="387"/>
      <c r="K206" s="387"/>
      <c r="L206" s="387"/>
      <c r="M206" s="387"/>
    </row>
    <row r="207" spans="1:13" x14ac:dyDescent="0.25">
      <c r="B207" s="385"/>
      <c r="C207" s="384"/>
      <c r="G207" s="385"/>
      <c r="H207" s="386"/>
      <c r="I207" s="385"/>
      <c r="J207" s="385"/>
      <c r="K207" s="385"/>
      <c r="L207" s="385"/>
      <c r="M207" s="385"/>
    </row>
    <row r="208" spans="1:13" x14ac:dyDescent="0.25">
      <c r="B208" s="385"/>
      <c r="C208" s="384"/>
      <c r="G208" s="385"/>
      <c r="H208" s="386"/>
      <c r="I208" s="385"/>
      <c r="J208" s="385"/>
      <c r="K208" s="385"/>
      <c r="L208" s="385"/>
      <c r="M208" s="385"/>
    </row>
    <row r="209" spans="2:13" x14ac:dyDescent="0.25">
      <c r="B209" s="385"/>
      <c r="C209" s="384"/>
      <c r="G209" s="385"/>
      <c r="H209" s="386"/>
      <c r="I209" s="385"/>
      <c r="J209" s="385"/>
      <c r="K209" s="385"/>
      <c r="L209" s="385"/>
      <c r="M209" s="385"/>
    </row>
    <row r="210" spans="2:13" x14ac:dyDescent="0.25">
      <c r="B210" s="385"/>
      <c r="C210" s="384"/>
      <c r="G210" s="385"/>
      <c r="H210" s="386"/>
      <c r="I210" s="385"/>
      <c r="J210" s="385"/>
      <c r="K210" s="385"/>
      <c r="L210" s="385"/>
      <c r="M210" s="385"/>
    </row>
    <row r="211" spans="2:13" x14ac:dyDescent="0.25">
      <c r="B211" s="570"/>
      <c r="C211" s="384"/>
      <c r="G211" s="385"/>
      <c r="H211" s="386"/>
      <c r="I211" s="385"/>
      <c r="J211" s="385"/>
      <c r="K211" s="385"/>
      <c r="L211" s="385"/>
      <c r="M211" s="385"/>
    </row>
    <row r="212" spans="2:13" x14ac:dyDescent="0.25">
      <c r="C212" s="384"/>
      <c r="G212" s="385"/>
      <c r="H212" s="386"/>
      <c r="I212" s="385"/>
      <c r="J212" s="385"/>
      <c r="K212" s="385"/>
      <c r="L212" s="385"/>
      <c r="M212" s="385"/>
    </row>
    <row r="213" spans="2:13" x14ac:dyDescent="0.25">
      <c r="B213" s="385"/>
      <c r="C213" s="384"/>
      <c r="G213" s="385"/>
      <c r="H213" s="386"/>
      <c r="I213" s="385"/>
      <c r="J213" s="385"/>
      <c r="K213" s="385"/>
      <c r="L213" s="385"/>
      <c r="M213" s="385"/>
    </row>
    <row r="214" spans="2:13" x14ac:dyDescent="0.25">
      <c r="B214" s="385"/>
      <c r="C214" s="384"/>
      <c r="G214" s="385"/>
      <c r="H214" s="386"/>
      <c r="I214" s="385"/>
      <c r="J214" s="385"/>
      <c r="K214" s="385"/>
      <c r="L214" s="385"/>
      <c r="M214" s="385"/>
    </row>
    <row r="215" spans="2:13" x14ac:dyDescent="0.25">
      <c r="B215" s="385"/>
      <c r="C215" s="384"/>
      <c r="G215" s="385"/>
      <c r="H215" s="386"/>
      <c r="I215" s="385"/>
      <c r="J215" s="385"/>
      <c r="K215" s="385"/>
      <c r="L215" s="385"/>
      <c r="M215" s="385"/>
    </row>
    <row r="216" spans="2:13" x14ac:dyDescent="0.25">
      <c r="B216" s="385"/>
      <c r="C216" s="384"/>
      <c r="G216" s="385"/>
      <c r="H216" s="386"/>
      <c r="I216" s="385"/>
      <c r="J216" s="385"/>
      <c r="K216" s="385"/>
      <c r="L216" s="385"/>
      <c r="M216" s="385"/>
    </row>
    <row r="217" spans="2:13" x14ac:dyDescent="0.25">
      <c r="C217" s="384"/>
      <c r="G217" s="385"/>
      <c r="H217" s="386"/>
      <c r="I217" s="385"/>
      <c r="J217" s="385"/>
      <c r="K217" s="385"/>
      <c r="L217" s="385"/>
      <c r="M217" s="385"/>
    </row>
    <row r="218" spans="2:13" x14ac:dyDescent="0.25">
      <c r="B218" s="385"/>
      <c r="C218" s="384"/>
      <c r="G218" s="385"/>
      <c r="H218" s="386"/>
      <c r="I218" s="385"/>
      <c r="J218" s="385"/>
      <c r="K218" s="385"/>
      <c r="L218" s="385"/>
      <c r="M218" s="385"/>
    </row>
    <row r="219" spans="2:13" x14ac:dyDescent="0.25">
      <c r="B219" s="385"/>
      <c r="C219" s="384"/>
      <c r="G219" s="385"/>
      <c r="H219" s="386"/>
      <c r="I219" s="385"/>
      <c r="J219" s="385"/>
      <c r="K219" s="385"/>
      <c r="L219" s="385"/>
      <c r="M219" s="385"/>
    </row>
    <row r="220" spans="2:13" x14ac:dyDescent="0.25">
      <c r="B220" s="385"/>
      <c r="C220" s="384"/>
      <c r="G220" s="385"/>
      <c r="H220" s="386"/>
      <c r="I220" s="385"/>
      <c r="J220" s="385"/>
      <c r="K220" s="385"/>
      <c r="L220" s="385"/>
      <c r="M220" s="385"/>
    </row>
    <row r="221" spans="2:13" x14ac:dyDescent="0.25">
      <c r="B221" s="570"/>
      <c r="C221" s="384"/>
      <c r="G221" s="385"/>
      <c r="H221" s="386"/>
      <c r="I221" s="385"/>
      <c r="J221" s="385"/>
      <c r="K221" s="385"/>
      <c r="L221" s="385"/>
      <c r="M221" s="385"/>
    </row>
    <row r="222" spans="2:13" x14ac:dyDescent="0.25">
      <c r="B222" s="385"/>
      <c r="C222" s="384"/>
      <c r="G222" s="385"/>
      <c r="H222" s="386"/>
      <c r="I222" s="385"/>
      <c r="J222" s="385"/>
      <c r="K222" s="385"/>
      <c r="L222" s="385"/>
      <c r="M222" s="385"/>
    </row>
    <row r="223" spans="2:13" x14ac:dyDescent="0.25">
      <c r="B223" s="385"/>
      <c r="C223" s="384"/>
      <c r="G223" s="385"/>
      <c r="H223" s="386"/>
      <c r="I223" s="385"/>
      <c r="J223" s="385"/>
      <c r="K223" s="385"/>
      <c r="L223" s="385"/>
      <c r="M223" s="385"/>
    </row>
    <row r="224" spans="2:13" x14ac:dyDescent="0.25">
      <c r="B224" s="385"/>
      <c r="C224" s="384"/>
      <c r="G224" s="385"/>
      <c r="H224" s="386"/>
      <c r="I224" s="385"/>
      <c r="J224" s="385"/>
      <c r="K224" s="385"/>
      <c r="L224" s="385"/>
      <c r="M224" s="385"/>
    </row>
    <row r="225" spans="2:13" x14ac:dyDescent="0.25">
      <c r="B225" s="385"/>
      <c r="C225" s="384"/>
      <c r="G225" s="385"/>
      <c r="H225" s="386"/>
      <c r="I225" s="385"/>
      <c r="J225" s="385"/>
      <c r="K225" s="385"/>
      <c r="L225" s="385"/>
      <c r="M225" s="385"/>
    </row>
    <row r="226" spans="2:13" x14ac:dyDescent="0.25">
      <c r="B226" s="385"/>
      <c r="C226" s="384"/>
      <c r="G226" s="385"/>
      <c r="H226" s="386"/>
      <c r="I226" s="385"/>
      <c r="J226" s="385"/>
      <c r="K226" s="385"/>
      <c r="L226" s="385"/>
      <c r="M226" s="385"/>
    </row>
    <row r="227" spans="2:13" x14ac:dyDescent="0.25">
      <c r="B227" s="385"/>
      <c r="C227" s="384"/>
      <c r="G227" s="385"/>
      <c r="H227" s="386"/>
      <c r="I227" s="385"/>
      <c r="J227" s="385"/>
      <c r="K227" s="385"/>
      <c r="L227" s="385"/>
      <c r="M227" s="385"/>
    </row>
    <row r="228" spans="2:13" x14ac:dyDescent="0.25">
      <c r="B228" s="385"/>
      <c r="C228" s="384"/>
      <c r="G228" s="385"/>
      <c r="H228" s="386"/>
      <c r="I228" s="385"/>
      <c r="J228" s="385"/>
      <c r="K228" s="385"/>
      <c r="L228" s="385"/>
      <c r="M228" s="385"/>
    </row>
    <row r="229" spans="2:13" x14ac:dyDescent="0.25">
      <c r="B229" s="385"/>
      <c r="C229" s="384"/>
      <c r="G229" s="385"/>
      <c r="H229" s="386"/>
      <c r="I229" s="385"/>
      <c r="J229" s="385"/>
      <c r="K229" s="385"/>
      <c r="L229" s="385"/>
      <c r="M229" s="385"/>
    </row>
    <row r="230" spans="2:13" x14ac:dyDescent="0.25">
      <c r="B230" s="379"/>
      <c r="C230" s="384"/>
      <c r="G230" s="385"/>
      <c r="H230" s="386"/>
      <c r="I230" s="385"/>
      <c r="J230" s="385"/>
      <c r="K230" s="385"/>
      <c r="L230" s="385"/>
      <c r="M230" s="385"/>
    </row>
    <row r="231" spans="2:13" x14ac:dyDescent="0.25">
      <c r="C231" s="384"/>
      <c r="G231" s="385"/>
      <c r="H231" s="386"/>
      <c r="I231" s="385"/>
      <c r="J231" s="385"/>
      <c r="K231" s="385"/>
      <c r="L231" s="385"/>
      <c r="M231" s="385"/>
    </row>
    <row r="232" spans="2:13" x14ac:dyDescent="0.25">
      <c r="B232" s="379"/>
      <c r="C232" s="384"/>
      <c r="G232" s="385"/>
      <c r="H232" s="386"/>
      <c r="I232" s="385"/>
      <c r="J232" s="385"/>
      <c r="K232" s="385"/>
      <c r="L232" s="385"/>
      <c r="M232" s="385"/>
    </row>
    <row r="233" spans="2:13" x14ac:dyDescent="0.25">
      <c r="C233" s="384"/>
      <c r="G233" s="385"/>
      <c r="H233" s="386"/>
      <c r="I233" s="385"/>
      <c r="J233" s="385"/>
      <c r="K233" s="385"/>
      <c r="L233" s="385"/>
      <c r="M233" s="385"/>
    </row>
    <row r="234" spans="2:13" x14ac:dyDescent="0.25">
      <c r="B234" s="385"/>
      <c r="C234" s="384"/>
      <c r="G234" s="385"/>
      <c r="H234" s="386"/>
      <c r="I234" s="385"/>
      <c r="J234" s="385"/>
      <c r="K234" s="385"/>
      <c r="L234" s="385"/>
      <c r="M234" s="385"/>
    </row>
    <row r="235" spans="2:13" x14ac:dyDescent="0.25">
      <c r="B235" s="385"/>
      <c r="C235" s="384"/>
      <c r="G235" s="385"/>
      <c r="H235" s="386"/>
      <c r="I235" s="385"/>
      <c r="J235" s="385"/>
      <c r="K235" s="385"/>
      <c r="L235" s="385"/>
      <c r="M235" s="385"/>
    </row>
    <row r="236" spans="2:13" x14ac:dyDescent="0.25">
      <c r="B236" s="385"/>
      <c r="C236" s="384"/>
      <c r="G236" s="385"/>
      <c r="H236" s="386"/>
      <c r="I236" s="385"/>
      <c r="J236" s="385"/>
      <c r="K236" s="385"/>
      <c r="L236" s="385"/>
      <c r="M236" s="385"/>
    </row>
    <row r="237" spans="2:13" x14ac:dyDescent="0.25">
      <c r="B237" s="379"/>
      <c r="C237" s="384"/>
      <c r="G237" s="385"/>
      <c r="H237" s="386"/>
      <c r="I237" s="385"/>
      <c r="J237" s="385"/>
      <c r="K237" s="385"/>
      <c r="L237" s="385"/>
      <c r="M237" s="385"/>
    </row>
    <row r="238" spans="2:13" x14ac:dyDescent="0.25">
      <c r="C238" s="384"/>
      <c r="G238" s="385"/>
      <c r="H238" s="386"/>
      <c r="I238" s="385"/>
      <c r="J238" s="385"/>
      <c r="K238" s="385"/>
      <c r="L238" s="385"/>
      <c r="M238" s="385"/>
    </row>
    <row r="239" spans="2:13" x14ac:dyDescent="0.25">
      <c r="B239" s="385"/>
      <c r="C239" s="384"/>
      <c r="G239" s="385"/>
      <c r="H239" s="386"/>
      <c r="I239" s="385"/>
      <c r="J239" s="385"/>
      <c r="K239" s="385"/>
      <c r="L239" s="385"/>
      <c r="M239" s="385"/>
    </row>
    <row r="240" spans="2:13" x14ac:dyDescent="0.25">
      <c r="B240" s="385"/>
      <c r="C240" s="384"/>
      <c r="G240" s="385"/>
      <c r="H240" s="386"/>
      <c r="I240" s="385"/>
      <c r="J240" s="385"/>
      <c r="K240" s="385"/>
      <c r="L240" s="385"/>
      <c r="M240" s="385"/>
    </row>
    <row r="241" spans="1:13" x14ac:dyDescent="0.25">
      <c r="B241" s="379"/>
      <c r="C241" s="384"/>
      <c r="G241" s="385"/>
      <c r="H241" s="386"/>
      <c r="I241" s="385"/>
      <c r="J241" s="385"/>
      <c r="K241" s="385"/>
      <c r="L241" s="385"/>
      <c r="M241" s="385"/>
    </row>
    <row r="242" spans="1:13" x14ac:dyDescent="0.25">
      <c r="C242" s="384"/>
      <c r="G242" s="385"/>
      <c r="H242" s="386"/>
      <c r="I242" s="385"/>
      <c r="J242" s="385"/>
      <c r="K242" s="385"/>
      <c r="L242" s="385"/>
      <c r="M242" s="385"/>
    </row>
    <row r="243" spans="1:13" x14ac:dyDescent="0.25">
      <c r="B243" s="570"/>
      <c r="C243" s="390"/>
      <c r="G243" s="385"/>
      <c r="H243" s="386"/>
      <c r="I243" s="385"/>
      <c r="J243" s="385"/>
      <c r="K243" s="385"/>
      <c r="L243" s="385"/>
      <c r="M243" s="385"/>
    </row>
    <row r="244" spans="1:13" x14ac:dyDescent="0.25">
      <c r="B244" s="379"/>
      <c r="C244" s="384"/>
      <c r="G244" s="385"/>
      <c r="H244" s="386"/>
      <c r="I244" s="385"/>
      <c r="J244" s="385"/>
      <c r="K244" s="385"/>
      <c r="L244" s="385"/>
      <c r="M244" s="385"/>
    </row>
    <row r="245" spans="1:13" x14ac:dyDescent="0.25">
      <c r="B245" s="379"/>
      <c r="C245" s="384"/>
      <c r="G245" s="385"/>
      <c r="H245" s="386"/>
      <c r="I245" s="385"/>
      <c r="J245" s="385"/>
      <c r="K245" s="385"/>
      <c r="L245" s="385"/>
      <c r="M245" s="385"/>
    </row>
    <row r="246" spans="1:13" x14ac:dyDescent="0.25">
      <c r="C246" s="390"/>
      <c r="G246" s="385"/>
      <c r="H246" s="386"/>
      <c r="I246" s="385"/>
      <c r="J246" s="385"/>
      <c r="K246" s="385"/>
      <c r="L246" s="385"/>
      <c r="M246" s="385"/>
    </row>
    <row r="247" spans="1:13" x14ac:dyDescent="0.25">
      <c r="G247" s="385"/>
      <c r="H247" s="386"/>
      <c r="I247" s="385"/>
      <c r="J247" s="385"/>
      <c r="K247" s="385"/>
      <c r="L247" s="385"/>
      <c r="M247" s="385"/>
    </row>
    <row r="248" spans="1:13" x14ac:dyDescent="0.25">
      <c r="K248" s="391"/>
      <c r="L248" s="391"/>
      <c r="M248" s="391"/>
    </row>
    <row r="251" spans="1:13" x14ac:dyDescent="0.25">
      <c r="A251" s="381"/>
      <c r="C251" s="381"/>
      <c r="D251" s="787"/>
      <c r="E251" s="382"/>
    </row>
    <row r="252" spans="1:13" x14ac:dyDescent="0.25">
      <c r="B252" s="385"/>
      <c r="C252" s="384"/>
      <c r="D252" s="786"/>
      <c r="E252" s="380"/>
      <c r="G252" s="385"/>
      <c r="H252" s="386"/>
      <c r="I252" s="385"/>
      <c r="J252" s="385"/>
      <c r="K252" s="385"/>
      <c r="L252" s="385"/>
      <c r="M252" s="385"/>
    </row>
    <row r="253" spans="1:13" x14ac:dyDescent="0.25">
      <c r="B253" s="385"/>
      <c r="C253" s="384"/>
      <c r="D253" s="786"/>
      <c r="E253" s="380"/>
      <c r="F253" s="380"/>
      <c r="G253" s="387"/>
      <c r="H253" s="569"/>
      <c r="I253" s="387"/>
      <c r="J253" s="387"/>
      <c r="K253" s="387"/>
      <c r="L253" s="387"/>
      <c r="M253" s="387"/>
    </row>
    <row r="254" spans="1:13" x14ac:dyDescent="0.25">
      <c r="B254" s="385"/>
      <c r="C254" s="384"/>
      <c r="G254" s="385"/>
      <c r="H254" s="386"/>
      <c r="I254" s="385"/>
      <c r="J254" s="385"/>
      <c r="K254" s="385"/>
      <c r="L254" s="385"/>
      <c r="M254" s="385"/>
    </row>
    <row r="255" spans="1:13" x14ac:dyDescent="0.25">
      <c r="B255" s="385"/>
      <c r="C255" s="384"/>
      <c r="G255" s="385"/>
      <c r="H255" s="386"/>
      <c r="I255" s="385"/>
      <c r="J255" s="385"/>
      <c r="K255" s="385"/>
      <c r="L255" s="385"/>
      <c r="M255" s="385"/>
    </row>
    <row r="256" spans="1:13" x14ac:dyDescent="0.25">
      <c r="B256" s="385"/>
      <c r="C256" s="384"/>
      <c r="G256" s="385"/>
      <c r="H256" s="386"/>
      <c r="I256" s="385"/>
      <c r="J256" s="385"/>
      <c r="K256" s="385"/>
      <c r="L256" s="385"/>
      <c r="M256" s="385"/>
    </row>
    <row r="257" spans="2:13" x14ac:dyDescent="0.25">
      <c r="B257" s="385"/>
      <c r="C257" s="384"/>
      <c r="G257" s="385"/>
      <c r="H257" s="386"/>
      <c r="I257" s="385"/>
      <c r="J257" s="385"/>
      <c r="K257" s="385"/>
      <c r="L257" s="385"/>
      <c r="M257" s="385"/>
    </row>
    <row r="258" spans="2:13" x14ac:dyDescent="0.25">
      <c r="B258" s="570"/>
      <c r="C258" s="384"/>
      <c r="G258" s="385"/>
      <c r="H258" s="386"/>
      <c r="I258" s="385"/>
      <c r="J258" s="385"/>
      <c r="K258" s="385"/>
      <c r="L258" s="385"/>
      <c r="M258" s="385"/>
    </row>
    <row r="259" spans="2:13" x14ac:dyDescent="0.25">
      <c r="C259" s="384"/>
      <c r="G259" s="385"/>
      <c r="H259" s="386"/>
      <c r="I259" s="385"/>
      <c r="J259" s="385"/>
      <c r="K259" s="385"/>
      <c r="L259" s="385"/>
      <c r="M259" s="385"/>
    </row>
    <row r="260" spans="2:13" x14ac:dyDescent="0.25">
      <c r="B260" s="385"/>
      <c r="C260" s="384"/>
      <c r="G260" s="385"/>
      <c r="H260" s="386"/>
      <c r="I260" s="385"/>
      <c r="J260" s="385"/>
      <c r="K260" s="385"/>
      <c r="L260" s="385"/>
      <c r="M260" s="385"/>
    </row>
    <row r="261" spans="2:13" x14ac:dyDescent="0.25">
      <c r="B261" s="385"/>
      <c r="C261" s="384"/>
      <c r="G261" s="385"/>
      <c r="H261" s="386"/>
      <c r="I261" s="385"/>
      <c r="J261" s="385"/>
      <c r="K261" s="385"/>
      <c r="L261" s="385"/>
      <c r="M261" s="385"/>
    </row>
    <row r="262" spans="2:13" x14ac:dyDescent="0.25">
      <c r="B262" s="385"/>
      <c r="C262" s="384"/>
      <c r="G262" s="385"/>
      <c r="H262" s="386"/>
      <c r="I262" s="385"/>
      <c r="J262" s="385"/>
      <c r="K262" s="385"/>
      <c r="L262" s="385"/>
      <c r="M262" s="385"/>
    </row>
    <row r="263" spans="2:13" x14ac:dyDescent="0.25">
      <c r="B263" s="385"/>
      <c r="C263" s="384"/>
      <c r="G263" s="385"/>
      <c r="H263" s="386"/>
      <c r="I263" s="385"/>
      <c r="J263" s="385"/>
      <c r="K263" s="385"/>
      <c r="L263" s="385"/>
      <c r="M263" s="385"/>
    </row>
    <row r="264" spans="2:13" x14ac:dyDescent="0.25">
      <c r="C264" s="384"/>
      <c r="G264" s="385"/>
      <c r="H264" s="386"/>
      <c r="I264" s="385"/>
      <c r="J264" s="385"/>
      <c r="K264" s="385"/>
      <c r="L264" s="385"/>
      <c r="M264" s="385"/>
    </row>
    <row r="265" spans="2:13" x14ac:dyDescent="0.25">
      <c r="B265" s="385"/>
      <c r="C265" s="384"/>
      <c r="G265" s="385"/>
      <c r="H265" s="386"/>
      <c r="I265" s="385"/>
      <c r="J265" s="385"/>
      <c r="K265" s="385"/>
      <c r="L265" s="385"/>
      <c r="M265" s="385"/>
    </row>
    <row r="266" spans="2:13" x14ac:dyDescent="0.25">
      <c r="B266" s="385"/>
      <c r="C266" s="384"/>
      <c r="G266" s="385"/>
      <c r="H266" s="386"/>
      <c r="I266" s="385"/>
      <c r="J266" s="385"/>
      <c r="K266" s="385"/>
      <c r="L266" s="385"/>
      <c r="M266" s="385"/>
    </row>
    <row r="267" spans="2:13" x14ac:dyDescent="0.25">
      <c r="B267" s="385"/>
      <c r="C267" s="384"/>
      <c r="G267" s="385"/>
      <c r="H267" s="386"/>
      <c r="I267" s="385"/>
      <c r="J267" s="385"/>
      <c r="K267" s="385"/>
      <c r="L267" s="385"/>
      <c r="M267" s="385"/>
    </row>
    <row r="268" spans="2:13" x14ac:dyDescent="0.25">
      <c r="B268" s="570"/>
      <c r="C268" s="384"/>
      <c r="G268" s="385"/>
      <c r="H268" s="386"/>
      <c r="I268" s="385"/>
      <c r="J268" s="385"/>
      <c r="K268" s="385"/>
      <c r="L268" s="385"/>
      <c r="M268" s="385"/>
    </row>
    <row r="269" spans="2:13" x14ac:dyDescent="0.25">
      <c r="B269" s="385"/>
      <c r="C269" s="384"/>
      <c r="G269" s="385"/>
      <c r="H269" s="386"/>
      <c r="I269" s="385"/>
      <c r="J269" s="385"/>
      <c r="K269" s="385"/>
      <c r="L269" s="385"/>
      <c r="M269" s="385"/>
    </row>
    <row r="270" spans="2:13" x14ac:dyDescent="0.25">
      <c r="B270" s="385"/>
      <c r="C270" s="384"/>
      <c r="G270" s="385"/>
      <c r="H270" s="386"/>
      <c r="I270" s="385"/>
      <c r="J270" s="385"/>
      <c r="K270" s="385"/>
      <c r="L270" s="385"/>
      <c r="M270" s="385"/>
    </row>
    <row r="271" spans="2:13" x14ac:dyDescent="0.25">
      <c r="B271" s="385"/>
      <c r="C271" s="384"/>
      <c r="G271" s="385"/>
      <c r="H271" s="386"/>
      <c r="I271" s="385"/>
      <c r="J271" s="385"/>
      <c r="K271" s="385"/>
      <c r="L271" s="385"/>
      <c r="M271" s="385"/>
    </row>
    <row r="272" spans="2:13" x14ac:dyDescent="0.25">
      <c r="B272" s="385"/>
      <c r="C272" s="384"/>
      <c r="G272" s="385"/>
      <c r="H272" s="386"/>
      <c r="I272" s="385"/>
      <c r="J272" s="385"/>
      <c r="K272" s="385"/>
      <c r="L272" s="385"/>
      <c r="M272" s="385"/>
    </row>
    <row r="273" spans="2:13" x14ac:dyDescent="0.25">
      <c r="B273" s="385"/>
      <c r="C273" s="384"/>
      <c r="G273" s="385"/>
      <c r="H273" s="386"/>
      <c r="I273" s="385"/>
      <c r="J273" s="385"/>
      <c r="K273" s="385"/>
      <c r="L273" s="385"/>
      <c r="M273" s="385"/>
    </row>
    <row r="274" spans="2:13" x14ac:dyDescent="0.25">
      <c r="B274" s="385"/>
      <c r="C274" s="384"/>
      <c r="G274" s="385"/>
      <c r="H274" s="386"/>
      <c r="I274" s="385"/>
      <c r="J274" s="385"/>
      <c r="K274" s="385"/>
      <c r="L274" s="385"/>
      <c r="M274" s="385"/>
    </row>
    <row r="275" spans="2:13" x14ac:dyDescent="0.25">
      <c r="B275" s="385"/>
      <c r="C275" s="384"/>
      <c r="G275" s="385"/>
      <c r="H275" s="386"/>
      <c r="I275" s="385"/>
      <c r="J275" s="385"/>
      <c r="K275" s="385"/>
      <c r="L275" s="385"/>
      <c r="M275" s="385"/>
    </row>
    <row r="276" spans="2:13" x14ac:dyDescent="0.25">
      <c r="B276" s="385"/>
      <c r="C276" s="384"/>
      <c r="G276" s="385"/>
      <c r="H276" s="386"/>
      <c r="I276" s="385"/>
      <c r="J276" s="385"/>
      <c r="K276" s="385"/>
      <c r="L276" s="385"/>
      <c r="M276" s="385"/>
    </row>
    <row r="277" spans="2:13" x14ac:dyDescent="0.25">
      <c r="B277" s="379"/>
      <c r="C277" s="384"/>
      <c r="G277" s="385"/>
      <c r="H277" s="386"/>
      <c r="I277" s="385"/>
      <c r="J277" s="385"/>
      <c r="K277" s="385"/>
      <c r="L277" s="385"/>
      <c r="M277" s="385"/>
    </row>
    <row r="278" spans="2:13" x14ac:dyDescent="0.25">
      <c r="C278" s="384"/>
      <c r="G278" s="385"/>
      <c r="H278" s="386"/>
      <c r="I278" s="385"/>
      <c r="J278" s="385"/>
      <c r="K278" s="385"/>
      <c r="L278" s="385"/>
      <c r="M278" s="385"/>
    </row>
    <row r="279" spans="2:13" x14ac:dyDescent="0.25">
      <c r="B279" s="379"/>
      <c r="C279" s="384"/>
      <c r="G279" s="385"/>
      <c r="H279" s="386"/>
      <c r="I279" s="385"/>
      <c r="J279" s="385"/>
      <c r="K279" s="385"/>
      <c r="L279" s="385"/>
      <c r="M279" s="385"/>
    </row>
    <row r="280" spans="2:13" x14ac:dyDescent="0.25">
      <c r="C280" s="384"/>
      <c r="G280" s="385"/>
      <c r="H280" s="386"/>
      <c r="I280" s="385"/>
      <c r="J280" s="385"/>
      <c r="K280" s="385"/>
      <c r="L280" s="385"/>
      <c r="M280" s="385"/>
    </row>
    <row r="281" spans="2:13" x14ac:dyDescent="0.25">
      <c r="B281" s="385"/>
      <c r="C281" s="384"/>
      <c r="G281" s="385"/>
      <c r="H281" s="386"/>
      <c r="I281" s="385"/>
      <c r="J281" s="385"/>
      <c r="K281" s="385"/>
      <c r="L281" s="385"/>
      <c r="M281" s="385"/>
    </row>
    <row r="282" spans="2:13" x14ac:dyDescent="0.25">
      <c r="B282" s="385"/>
      <c r="C282" s="384"/>
      <c r="G282" s="385"/>
      <c r="H282" s="386"/>
      <c r="I282" s="385"/>
      <c r="J282" s="385"/>
      <c r="K282" s="385"/>
      <c r="L282" s="385"/>
      <c r="M282" s="385"/>
    </row>
    <row r="283" spans="2:13" x14ac:dyDescent="0.25">
      <c r="B283" s="385"/>
      <c r="C283" s="384"/>
      <c r="G283" s="385"/>
      <c r="H283" s="386"/>
      <c r="I283" s="385"/>
      <c r="J283" s="385"/>
      <c r="K283" s="385"/>
      <c r="L283" s="385"/>
      <c r="M283" s="385"/>
    </row>
    <row r="284" spans="2:13" x14ac:dyDescent="0.25">
      <c r="B284" s="379"/>
      <c r="C284" s="384"/>
      <c r="G284" s="385"/>
      <c r="H284" s="386"/>
      <c r="I284" s="385"/>
      <c r="J284" s="385"/>
      <c r="K284" s="385"/>
      <c r="L284" s="385"/>
      <c r="M284" s="385"/>
    </row>
    <row r="285" spans="2:13" x14ac:dyDescent="0.25">
      <c r="C285" s="384"/>
      <c r="G285" s="385"/>
      <c r="H285" s="386"/>
      <c r="I285" s="385"/>
      <c r="J285" s="385"/>
      <c r="K285" s="385"/>
      <c r="L285" s="385"/>
      <c r="M285" s="385"/>
    </row>
    <row r="286" spans="2:13" x14ac:dyDescent="0.25">
      <c r="B286" s="385"/>
      <c r="C286" s="384"/>
      <c r="G286" s="385"/>
      <c r="H286" s="386"/>
      <c r="I286" s="385"/>
      <c r="J286" s="385"/>
      <c r="K286" s="385"/>
      <c r="L286" s="385"/>
      <c r="M286" s="385"/>
    </row>
    <row r="287" spans="2:13" x14ac:dyDescent="0.25">
      <c r="B287" s="385"/>
      <c r="C287" s="384"/>
      <c r="G287" s="385"/>
      <c r="H287" s="386"/>
      <c r="I287" s="385"/>
      <c r="J287" s="385"/>
      <c r="K287" s="385"/>
      <c r="L287" s="385"/>
      <c r="M287" s="385"/>
    </row>
    <row r="288" spans="2:13" x14ac:dyDescent="0.25">
      <c r="B288" s="379"/>
      <c r="C288" s="384"/>
      <c r="G288" s="385"/>
      <c r="H288" s="386"/>
      <c r="I288" s="385"/>
      <c r="J288" s="385"/>
      <c r="K288" s="385"/>
      <c r="L288" s="385"/>
      <c r="M288" s="385"/>
    </row>
    <row r="289" spans="2:14" x14ac:dyDescent="0.25">
      <c r="C289" s="384"/>
      <c r="G289" s="385"/>
      <c r="H289" s="386"/>
      <c r="I289" s="385"/>
      <c r="J289" s="385"/>
      <c r="K289" s="385"/>
      <c r="L289" s="385"/>
      <c r="M289" s="385"/>
    </row>
    <row r="290" spans="2:14" x14ac:dyDescent="0.25">
      <c r="B290" s="570"/>
      <c r="C290" s="390"/>
      <c r="G290" s="385"/>
      <c r="H290" s="386"/>
      <c r="I290" s="385"/>
      <c r="J290" s="385"/>
      <c r="K290" s="385"/>
      <c r="L290" s="385"/>
      <c r="M290" s="385"/>
    </row>
    <row r="291" spans="2:14" x14ac:dyDescent="0.25">
      <c r="B291" s="379"/>
      <c r="C291" s="384"/>
      <c r="G291" s="385"/>
      <c r="H291" s="386"/>
      <c r="I291" s="385"/>
      <c r="J291" s="385"/>
      <c r="K291" s="385"/>
      <c r="L291" s="385"/>
      <c r="M291" s="385"/>
    </row>
    <row r="292" spans="2:14" x14ac:dyDescent="0.25">
      <c r="B292" s="379"/>
      <c r="C292" s="384"/>
      <c r="G292" s="385"/>
      <c r="H292" s="386"/>
      <c r="I292" s="385"/>
      <c r="J292" s="385"/>
      <c r="K292" s="385"/>
      <c r="L292" s="385"/>
      <c r="M292" s="385"/>
    </row>
    <row r="293" spans="2:14" x14ac:dyDescent="0.25">
      <c r="C293" s="390"/>
      <c r="G293" s="385"/>
      <c r="H293" s="386"/>
      <c r="I293" s="385"/>
      <c r="J293" s="385"/>
      <c r="K293" s="385"/>
      <c r="L293" s="385"/>
      <c r="M293" s="385"/>
    </row>
    <row r="294" spans="2:14" x14ac:dyDescent="0.25">
      <c r="G294" s="385"/>
      <c r="H294" s="386"/>
      <c r="I294" s="385"/>
      <c r="J294" s="385"/>
      <c r="K294" s="385"/>
      <c r="L294" s="385"/>
      <c r="M294" s="385"/>
    </row>
    <row r="295" spans="2:14" x14ac:dyDescent="0.25">
      <c r="K295" s="391"/>
      <c r="L295" s="391"/>
      <c r="M295" s="391"/>
      <c r="N295" s="392"/>
    </row>
    <row r="296" spans="2:14" x14ac:dyDescent="0.25">
      <c r="K296" s="391"/>
      <c r="L296" s="391"/>
      <c r="M296" s="391"/>
      <c r="N296" s="392"/>
    </row>
    <row r="297" spans="2:14" x14ac:dyDescent="0.25">
      <c r="K297" s="391"/>
      <c r="L297" s="391"/>
      <c r="M297" s="391"/>
      <c r="N297" s="392"/>
    </row>
    <row r="298" spans="2:14" x14ac:dyDescent="0.25">
      <c r="K298" s="391"/>
      <c r="L298" s="391"/>
      <c r="M298" s="391"/>
      <c r="N298" s="392"/>
    </row>
    <row r="299" spans="2:14" x14ac:dyDescent="0.25">
      <c r="K299" s="391"/>
      <c r="L299" s="391"/>
      <c r="M299" s="391"/>
      <c r="N299" s="392"/>
    </row>
    <row r="300" spans="2:14" x14ac:dyDescent="0.25">
      <c r="K300" s="391"/>
      <c r="L300" s="391"/>
      <c r="M300" s="391"/>
    </row>
  </sheetData>
  <autoFilter ref="A9:H22"/>
  <mergeCells count="12">
    <mergeCell ref="A22:D22"/>
    <mergeCell ref="G22:H22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62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C000"/>
    <pageSetUpPr fitToPage="1"/>
  </sheetPr>
  <dimension ref="B1:K37"/>
  <sheetViews>
    <sheetView view="pageBreakPreview" topLeftCell="B1" zoomScale="80" zoomScaleNormal="100" zoomScaleSheetLayoutView="80" workbookViewId="0">
      <selection activeCell="J40" sqref="J40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13.9" x14ac:dyDescent="0.3">
      <c r="B2" s="396" t="str">
        <f>'07-DO'!B2</f>
        <v>PROIECT : Extindere infrastructură educațională – Centrul Școlar pentru Educație înclusivă „Constantin Pufan”</v>
      </c>
      <c r="C2" s="411"/>
      <c r="D2" s="36"/>
      <c r="E2" s="36"/>
      <c r="F2" s="36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DG!C67</f>
        <v>OBIECT 8 - Amenajare teren sportiv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3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 t="e">
        <f>#REF!</f>
        <v>#REF!</v>
      </c>
      <c r="E22" s="430" t="e">
        <f t="shared" si="2"/>
        <v>#REF!</v>
      </c>
      <c r="F22" s="834" t="e">
        <f t="shared" si="3"/>
        <v>#REF!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f>'08-LU'!E13</f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f>'08-LD'!F33</f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</row>
    <row r="32" spans="2:9" ht="13.9" x14ac:dyDescent="0.3">
      <c r="B32" s="41"/>
      <c r="C32" s="42"/>
      <c r="D32" s="43"/>
      <c r="E32" s="43"/>
      <c r="F32" s="43"/>
      <c r="G32" s="32"/>
    </row>
    <row r="33" spans="2:7" ht="15" customHeight="1" x14ac:dyDescent="0.2">
      <c r="B33" s="540"/>
      <c r="C33" s="1452"/>
      <c r="D33" s="43"/>
      <c r="E33" s="43"/>
      <c r="F33" s="44" t="s">
        <v>82</v>
      </c>
      <c r="G33" s="32"/>
    </row>
    <row r="34" spans="2:7" x14ac:dyDescent="0.25">
      <c r="B34" s="41"/>
      <c r="C34" s="1452"/>
      <c r="D34" s="43"/>
      <c r="E34" s="808"/>
      <c r="F34" s="45" t="s">
        <v>1448</v>
      </c>
    </row>
    <row r="35" spans="2:7" x14ac:dyDescent="0.2">
      <c r="B35" s="41"/>
      <c r="C35" s="145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9">
    <mergeCell ref="C33:C35"/>
    <mergeCell ref="B30:C30"/>
    <mergeCell ref="B31:C31"/>
    <mergeCell ref="B4:F5"/>
    <mergeCell ref="B8:B9"/>
    <mergeCell ref="C8:C9"/>
    <mergeCell ref="B11:F11"/>
    <mergeCell ref="B23:C23"/>
    <mergeCell ref="B25:C25"/>
  </mergeCells>
  <pageMargins left="0.7" right="0.7" top="0.75" bottom="0.75" header="0.3" footer="0.3"/>
  <pageSetup paperSize="9" scale="8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FF00"/>
    <pageSetUpPr fitToPage="1"/>
  </sheetPr>
  <dimension ref="A1:P310"/>
  <sheetViews>
    <sheetView view="pageBreakPreview" zoomScale="80" zoomScaleNormal="70" zoomScaleSheetLayoutView="80" workbookViewId="0">
      <selection activeCell="E12" sqref="E12"/>
    </sheetView>
  </sheetViews>
  <sheetFormatPr defaultColWidth="10.7109375" defaultRowHeight="12.75" x14ac:dyDescent="0.25"/>
  <cols>
    <col min="1" max="1" width="7.85546875" style="360" customWidth="1"/>
    <col min="2" max="2" width="38" style="373" customWidth="1"/>
    <col min="3" max="3" width="8.42578125" style="374" customWidth="1"/>
    <col min="4" max="4" width="15.7109375" style="375" customWidth="1"/>
    <col min="5" max="5" width="17.85546875" style="375" customWidth="1"/>
    <col min="6" max="6" width="31.85546875" style="360" hidden="1" customWidth="1"/>
    <col min="7" max="7" width="33.28515625" style="360" customWidth="1"/>
    <col min="8" max="255" width="10.7109375" style="360"/>
    <col min="256" max="256" width="13.140625" style="360" customWidth="1"/>
    <col min="257" max="257" width="38" style="360" customWidth="1"/>
    <col min="258" max="258" width="8.42578125" style="360" customWidth="1"/>
    <col min="259" max="259" width="15.7109375" style="360" customWidth="1"/>
    <col min="260" max="260" width="18.28515625" style="360" customWidth="1"/>
    <col min="261" max="261" width="17.85546875" style="360" customWidth="1"/>
    <col min="262" max="262" width="0" style="360" hidden="1" customWidth="1"/>
    <col min="263" max="263" width="33.28515625" style="360" customWidth="1"/>
    <col min="264" max="511" width="10.7109375" style="360"/>
    <col min="512" max="512" width="13.140625" style="360" customWidth="1"/>
    <col min="513" max="513" width="38" style="360" customWidth="1"/>
    <col min="514" max="514" width="8.42578125" style="360" customWidth="1"/>
    <col min="515" max="515" width="15.7109375" style="360" customWidth="1"/>
    <col min="516" max="516" width="18.28515625" style="360" customWidth="1"/>
    <col min="517" max="517" width="17.85546875" style="360" customWidth="1"/>
    <col min="518" max="518" width="0" style="360" hidden="1" customWidth="1"/>
    <col min="519" max="519" width="33.28515625" style="360" customWidth="1"/>
    <col min="520" max="767" width="10.7109375" style="360"/>
    <col min="768" max="768" width="13.140625" style="360" customWidth="1"/>
    <col min="769" max="769" width="38" style="360" customWidth="1"/>
    <col min="770" max="770" width="8.42578125" style="360" customWidth="1"/>
    <col min="771" max="771" width="15.7109375" style="360" customWidth="1"/>
    <col min="772" max="772" width="18.28515625" style="360" customWidth="1"/>
    <col min="773" max="773" width="17.85546875" style="360" customWidth="1"/>
    <col min="774" max="774" width="0" style="360" hidden="1" customWidth="1"/>
    <col min="775" max="775" width="33.28515625" style="360" customWidth="1"/>
    <col min="776" max="1023" width="10.7109375" style="360"/>
    <col min="1024" max="1024" width="13.140625" style="360" customWidth="1"/>
    <col min="1025" max="1025" width="38" style="360" customWidth="1"/>
    <col min="1026" max="1026" width="8.42578125" style="360" customWidth="1"/>
    <col min="1027" max="1027" width="15.7109375" style="360" customWidth="1"/>
    <col min="1028" max="1028" width="18.28515625" style="360" customWidth="1"/>
    <col min="1029" max="1029" width="17.85546875" style="360" customWidth="1"/>
    <col min="1030" max="1030" width="0" style="360" hidden="1" customWidth="1"/>
    <col min="1031" max="1031" width="33.28515625" style="360" customWidth="1"/>
    <col min="1032" max="1279" width="10.7109375" style="360"/>
    <col min="1280" max="1280" width="13.140625" style="360" customWidth="1"/>
    <col min="1281" max="1281" width="38" style="360" customWidth="1"/>
    <col min="1282" max="1282" width="8.42578125" style="360" customWidth="1"/>
    <col min="1283" max="1283" width="15.7109375" style="360" customWidth="1"/>
    <col min="1284" max="1284" width="18.28515625" style="360" customWidth="1"/>
    <col min="1285" max="1285" width="17.85546875" style="360" customWidth="1"/>
    <col min="1286" max="1286" width="0" style="360" hidden="1" customWidth="1"/>
    <col min="1287" max="1287" width="33.28515625" style="360" customWidth="1"/>
    <col min="1288" max="1535" width="10.7109375" style="360"/>
    <col min="1536" max="1536" width="13.140625" style="360" customWidth="1"/>
    <col min="1537" max="1537" width="38" style="360" customWidth="1"/>
    <col min="1538" max="1538" width="8.42578125" style="360" customWidth="1"/>
    <col min="1539" max="1539" width="15.7109375" style="360" customWidth="1"/>
    <col min="1540" max="1540" width="18.28515625" style="360" customWidth="1"/>
    <col min="1541" max="1541" width="17.85546875" style="360" customWidth="1"/>
    <col min="1542" max="1542" width="0" style="360" hidden="1" customWidth="1"/>
    <col min="1543" max="1543" width="33.28515625" style="360" customWidth="1"/>
    <col min="1544" max="1791" width="10.7109375" style="360"/>
    <col min="1792" max="1792" width="13.140625" style="360" customWidth="1"/>
    <col min="1793" max="1793" width="38" style="360" customWidth="1"/>
    <col min="1794" max="1794" width="8.42578125" style="360" customWidth="1"/>
    <col min="1795" max="1795" width="15.7109375" style="360" customWidth="1"/>
    <col min="1796" max="1796" width="18.28515625" style="360" customWidth="1"/>
    <col min="1797" max="1797" width="17.85546875" style="360" customWidth="1"/>
    <col min="1798" max="1798" width="0" style="360" hidden="1" customWidth="1"/>
    <col min="1799" max="1799" width="33.28515625" style="360" customWidth="1"/>
    <col min="1800" max="2047" width="10.7109375" style="360"/>
    <col min="2048" max="2048" width="13.140625" style="360" customWidth="1"/>
    <col min="2049" max="2049" width="38" style="360" customWidth="1"/>
    <col min="2050" max="2050" width="8.42578125" style="360" customWidth="1"/>
    <col min="2051" max="2051" width="15.7109375" style="360" customWidth="1"/>
    <col min="2052" max="2052" width="18.28515625" style="360" customWidth="1"/>
    <col min="2053" max="2053" width="17.85546875" style="360" customWidth="1"/>
    <col min="2054" max="2054" width="0" style="360" hidden="1" customWidth="1"/>
    <col min="2055" max="2055" width="33.28515625" style="360" customWidth="1"/>
    <col min="2056" max="2303" width="10.7109375" style="360"/>
    <col min="2304" max="2304" width="13.140625" style="360" customWidth="1"/>
    <col min="2305" max="2305" width="38" style="360" customWidth="1"/>
    <col min="2306" max="2306" width="8.42578125" style="360" customWidth="1"/>
    <col min="2307" max="2307" width="15.7109375" style="360" customWidth="1"/>
    <col min="2308" max="2308" width="18.28515625" style="360" customWidth="1"/>
    <col min="2309" max="2309" width="17.85546875" style="360" customWidth="1"/>
    <col min="2310" max="2310" width="0" style="360" hidden="1" customWidth="1"/>
    <col min="2311" max="2311" width="33.28515625" style="360" customWidth="1"/>
    <col min="2312" max="2559" width="10.7109375" style="360"/>
    <col min="2560" max="2560" width="13.140625" style="360" customWidth="1"/>
    <col min="2561" max="2561" width="38" style="360" customWidth="1"/>
    <col min="2562" max="2562" width="8.42578125" style="360" customWidth="1"/>
    <col min="2563" max="2563" width="15.7109375" style="360" customWidth="1"/>
    <col min="2564" max="2564" width="18.28515625" style="360" customWidth="1"/>
    <col min="2565" max="2565" width="17.85546875" style="360" customWidth="1"/>
    <col min="2566" max="2566" width="0" style="360" hidden="1" customWidth="1"/>
    <col min="2567" max="2567" width="33.28515625" style="360" customWidth="1"/>
    <col min="2568" max="2815" width="10.7109375" style="360"/>
    <col min="2816" max="2816" width="13.140625" style="360" customWidth="1"/>
    <col min="2817" max="2817" width="38" style="360" customWidth="1"/>
    <col min="2818" max="2818" width="8.42578125" style="360" customWidth="1"/>
    <col min="2819" max="2819" width="15.7109375" style="360" customWidth="1"/>
    <col min="2820" max="2820" width="18.28515625" style="360" customWidth="1"/>
    <col min="2821" max="2821" width="17.85546875" style="360" customWidth="1"/>
    <col min="2822" max="2822" width="0" style="360" hidden="1" customWidth="1"/>
    <col min="2823" max="2823" width="33.28515625" style="360" customWidth="1"/>
    <col min="2824" max="3071" width="10.7109375" style="360"/>
    <col min="3072" max="3072" width="13.140625" style="360" customWidth="1"/>
    <col min="3073" max="3073" width="38" style="360" customWidth="1"/>
    <col min="3074" max="3074" width="8.42578125" style="360" customWidth="1"/>
    <col min="3075" max="3075" width="15.7109375" style="360" customWidth="1"/>
    <col min="3076" max="3076" width="18.28515625" style="360" customWidth="1"/>
    <col min="3077" max="3077" width="17.85546875" style="360" customWidth="1"/>
    <col min="3078" max="3078" width="0" style="360" hidden="1" customWidth="1"/>
    <col min="3079" max="3079" width="33.28515625" style="360" customWidth="1"/>
    <col min="3080" max="3327" width="10.7109375" style="360"/>
    <col min="3328" max="3328" width="13.140625" style="360" customWidth="1"/>
    <col min="3329" max="3329" width="38" style="360" customWidth="1"/>
    <col min="3330" max="3330" width="8.42578125" style="360" customWidth="1"/>
    <col min="3331" max="3331" width="15.7109375" style="360" customWidth="1"/>
    <col min="3332" max="3332" width="18.28515625" style="360" customWidth="1"/>
    <col min="3333" max="3333" width="17.85546875" style="360" customWidth="1"/>
    <col min="3334" max="3334" width="0" style="360" hidden="1" customWidth="1"/>
    <col min="3335" max="3335" width="33.28515625" style="360" customWidth="1"/>
    <col min="3336" max="3583" width="10.7109375" style="360"/>
    <col min="3584" max="3584" width="13.140625" style="360" customWidth="1"/>
    <col min="3585" max="3585" width="38" style="360" customWidth="1"/>
    <col min="3586" max="3586" width="8.42578125" style="360" customWidth="1"/>
    <col min="3587" max="3587" width="15.7109375" style="360" customWidth="1"/>
    <col min="3588" max="3588" width="18.28515625" style="360" customWidth="1"/>
    <col min="3589" max="3589" width="17.85546875" style="360" customWidth="1"/>
    <col min="3590" max="3590" width="0" style="360" hidden="1" customWidth="1"/>
    <col min="3591" max="3591" width="33.28515625" style="360" customWidth="1"/>
    <col min="3592" max="3839" width="10.7109375" style="360"/>
    <col min="3840" max="3840" width="13.140625" style="360" customWidth="1"/>
    <col min="3841" max="3841" width="38" style="360" customWidth="1"/>
    <col min="3842" max="3842" width="8.42578125" style="360" customWidth="1"/>
    <col min="3843" max="3843" width="15.7109375" style="360" customWidth="1"/>
    <col min="3844" max="3844" width="18.28515625" style="360" customWidth="1"/>
    <col min="3845" max="3845" width="17.85546875" style="360" customWidth="1"/>
    <col min="3846" max="3846" width="0" style="360" hidden="1" customWidth="1"/>
    <col min="3847" max="3847" width="33.28515625" style="360" customWidth="1"/>
    <col min="3848" max="4095" width="10.7109375" style="360"/>
    <col min="4096" max="4096" width="13.140625" style="360" customWidth="1"/>
    <col min="4097" max="4097" width="38" style="360" customWidth="1"/>
    <col min="4098" max="4098" width="8.42578125" style="360" customWidth="1"/>
    <col min="4099" max="4099" width="15.7109375" style="360" customWidth="1"/>
    <col min="4100" max="4100" width="18.28515625" style="360" customWidth="1"/>
    <col min="4101" max="4101" width="17.85546875" style="360" customWidth="1"/>
    <col min="4102" max="4102" width="0" style="360" hidden="1" customWidth="1"/>
    <col min="4103" max="4103" width="33.28515625" style="360" customWidth="1"/>
    <col min="4104" max="4351" width="10.7109375" style="360"/>
    <col min="4352" max="4352" width="13.140625" style="360" customWidth="1"/>
    <col min="4353" max="4353" width="38" style="360" customWidth="1"/>
    <col min="4354" max="4354" width="8.42578125" style="360" customWidth="1"/>
    <col min="4355" max="4355" width="15.7109375" style="360" customWidth="1"/>
    <col min="4356" max="4356" width="18.28515625" style="360" customWidth="1"/>
    <col min="4357" max="4357" width="17.85546875" style="360" customWidth="1"/>
    <col min="4358" max="4358" width="0" style="360" hidden="1" customWidth="1"/>
    <col min="4359" max="4359" width="33.28515625" style="360" customWidth="1"/>
    <col min="4360" max="4607" width="10.7109375" style="360"/>
    <col min="4608" max="4608" width="13.140625" style="360" customWidth="1"/>
    <col min="4609" max="4609" width="38" style="360" customWidth="1"/>
    <col min="4610" max="4610" width="8.42578125" style="360" customWidth="1"/>
    <col min="4611" max="4611" width="15.7109375" style="360" customWidth="1"/>
    <col min="4612" max="4612" width="18.28515625" style="360" customWidth="1"/>
    <col min="4613" max="4613" width="17.85546875" style="360" customWidth="1"/>
    <col min="4614" max="4614" width="0" style="360" hidden="1" customWidth="1"/>
    <col min="4615" max="4615" width="33.28515625" style="360" customWidth="1"/>
    <col min="4616" max="4863" width="10.7109375" style="360"/>
    <col min="4864" max="4864" width="13.140625" style="360" customWidth="1"/>
    <col min="4865" max="4865" width="38" style="360" customWidth="1"/>
    <col min="4866" max="4866" width="8.42578125" style="360" customWidth="1"/>
    <col min="4867" max="4867" width="15.7109375" style="360" customWidth="1"/>
    <col min="4868" max="4868" width="18.28515625" style="360" customWidth="1"/>
    <col min="4869" max="4869" width="17.85546875" style="360" customWidth="1"/>
    <col min="4870" max="4870" width="0" style="360" hidden="1" customWidth="1"/>
    <col min="4871" max="4871" width="33.28515625" style="360" customWidth="1"/>
    <col min="4872" max="5119" width="10.7109375" style="360"/>
    <col min="5120" max="5120" width="13.140625" style="360" customWidth="1"/>
    <col min="5121" max="5121" width="38" style="360" customWidth="1"/>
    <col min="5122" max="5122" width="8.42578125" style="360" customWidth="1"/>
    <col min="5123" max="5123" width="15.7109375" style="360" customWidth="1"/>
    <col min="5124" max="5124" width="18.28515625" style="360" customWidth="1"/>
    <col min="5125" max="5125" width="17.85546875" style="360" customWidth="1"/>
    <col min="5126" max="5126" width="0" style="360" hidden="1" customWidth="1"/>
    <col min="5127" max="5127" width="33.28515625" style="360" customWidth="1"/>
    <col min="5128" max="5375" width="10.7109375" style="360"/>
    <col min="5376" max="5376" width="13.140625" style="360" customWidth="1"/>
    <col min="5377" max="5377" width="38" style="360" customWidth="1"/>
    <col min="5378" max="5378" width="8.42578125" style="360" customWidth="1"/>
    <col min="5379" max="5379" width="15.7109375" style="360" customWidth="1"/>
    <col min="5380" max="5380" width="18.28515625" style="360" customWidth="1"/>
    <col min="5381" max="5381" width="17.85546875" style="360" customWidth="1"/>
    <col min="5382" max="5382" width="0" style="360" hidden="1" customWidth="1"/>
    <col min="5383" max="5383" width="33.28515625" style="360" customWidth="1"/>
    <col min="5384" max="5631" width="10.7109375" style="360"/>
    <col min="5632" max="5632" width="13.140625" style="360" customWidth="1"/>
    <col min="5633" max="5633" width="38" style="360" customWidth="1"/>
    <col min="5634" max="5634" width="8.42578125" style="360" customWidth="1"/>
    <col min="5635" max="5635" width="15.7109375" style="360" customWidth="1"/>
    <col min="5636" max="5636" width="18.28515625" style="360" customWidth="1"/>
    <col min="5637" max="5637" width="17.85546875" style="360" customWidth="1"/>
    <col min="5638" max="5638" width="0" style="360" hidden="1" customWidth="1"/>
    <col min="5639" max="5639" width="33.28515625" style="360" customWidth="1"/>
    <col min="5640" max="5887" width="10.7109375" style="360"/>
    <col min="5888" max="5888" width="13.140625" style="360" customWidth="1"/>
    <col min="5889" max="5889" width="38" style="360" customWidth="1"/>
    <col min="5890" max="5890" width="8.42578125" style="360" customWidth="1"/>
    <col min="5891" max="5891" width="15.7109375" style="360" customWidth="1"/>
    <col min="5892" max="5892" width="18.28515625" style="360" customWidth="1"/>
    <col min="5893" max="5893" width="17.85546875" style="360" customWidth="1"/>
    <col min="5894" max="5894" width="0" style="360" hidden="1" customWidth="1"/>
    <col min="5895" max="5895" width="33.28515625" style="360" customWidth="1"/>
    <col min="5896" max="6143" width="10.7109375" style="360"/>
    <col min="6144" max="6144" width="13.140625" style="360" customWidth="1"/>
    <col min="6145" max="6145" width="38" style="360" customWidth="1"/>
    <col min="6146" max="6146" width="8.42578125" style="360" customWidth="1"/>
    <col min="6147" max="6147" width="15.7109375" style="360" customWidth="1"/>
    <col min="6148" max="6148" width="18.28515625" style="360" customWidth="1"/>
    <col min="6149" max="6149" width="17.85546875" style="360" customWidth="1"/>
    <col min="6150" max="6150" width="0" style="360" hidden="1" customWidth="1"/>
    <col min="6151" max="6151" width="33.28515625" style="360" customWidth="1"/>
    <col min="6152" max="6399" width="10.7109375" style="360"/>
    <col min="6400" max="6400" width="13.140625" style="360" customWidth="1"/>
    <col min="6401" max="6401" width="38" style="360" customWidth="1"/>
    <col min="6402" max="6402" width="8.42578125" style="360" customWidth="1"/>
    <col min="6403" max="6403" width="15.7109375" style="360" customWidth="1"/>
    <col min="6404" max="6404" width="18.28515625" style="360" customWidth="1"/>
    <col min="6405" max="6405" width="17.85546875" style="360" customWidth="1"/>
    <col min="6406" max="6406" width="0" style="360" hidden="1" customWidth="1"/>
    <col min="6407" max="6407" width="33.28515625" style="360" customWidth="1"/>
    <col min="6408" max="6655" width="10.7109375" style="360"/>
    <col min="6656" max="6656" width="13.140625" style="360" customWidth="1"/>
    <col min="6657" max="6657" width="38" style="360" customWidth="1"/>
    <col min="6658" max="6658" width="8.42578125" style="360" customWidth="1"/>
    <col min="6659" max="6659" width="15.7109375" style="360" customWidth="1"/>
    <col min="6660" max="6660" width="18.28515625" style="360" customWidth="1"/>
    <col min="6661" max="6661" width="17.85546875" style="360" customWidth="1"/>
    <col min="6662" max="6662" width="0" style="360" hidden="1" customWidth="1"/>
    <col min="6663" max="6663" width="33.28515625" style="360" customWidth="1"/>
    <col min="6664" max="6911" width="10.7109375" style="360"/>
    <col min="6912" max="6912" width="13.140625" style="360" customWidth="1"/>
    <col min="6913" max="6913" width="38" style="360" customWidth="1"/>
    <col min="6914" max="6914" width="8.42578125" style="360" customWidth="1"/>
    <col min="6915" max="6915" width="15.7109375" style="360" customWidth="1"/>
    <col min="6916" max="6916" width="18.28515625" style="360" customWidth="1"/>
    <col min="6917" max="6917" width="17.85546875" style="360" customWidth="1"/>
    <col min="6918" max="6918" width="0" style="360" hidden="1" customWidth="1"/>
    <col min="6919" max="6919" width="33.28515625" style="360" customWidth="1"/>
    <col min="6920" max="7167" width="10.7109375" style="360"/>
    <col min="7168" max="7168" width="13.140625" style="360" customWidth="1"/>
    <col min="7169" max="7169" width="38" style="360" customWidth="1"/>
    <col min="7170" max="7170" width="8.42578125" style="360" customWidth="1"/>
    <col min="7171" max="7171" width="15.7109375" style="360" customWidth="1"/>
    <col min="7172" max="7172" width="18.28515625" style="360" customWidth="1"/>
    <col min="7173" max="7173" width="17.85546875" style="360" customWidth="1"/>
    <col min="7174" max="7174" width="0" style="360" hidden="1" customWidth="1"/>
    <col min="7175" max="7175" width="33.28515625" style="360" customWidth="1"/>
    <col min="7176" max="7423" width="10.7109375" style="360"/>
    <col min="7424" max="7424" width="13.140625" style="360" customWidth="1"/>
    <col min="7425" max="7425" width="38" style="360" customWidth="1"/>
    <col min="7426" max="7426" width="8.42578125" style="360" customWidth="1"/>
    <col min="7427" max="7427" width="15.7109375" style="360" customWidth="1"/>
    <col min="7428" max="7428" width="18.28515625" style="360" customWidth="1"/>
    <col min="7429" max="7429" width="17.85546875" style="360" customWidth="1"/>
    <col min="7430" max="7430" width="0" style="360" hidden="1" customWidth="1"/>
    <col min="7431" max="7431" width="33.28515625" style="360" customWidth="1"/>
    <col min="7432" max="7679" width="10.7109375" style="360"/>
    <col min="7680" max="7680" width="13.140625" style="360" customWidth="1"/>
    <col min="7681" max="7681" width="38" style="360" customWidth="1"/>
    <col min="7682" max="7682" width="8.42578125" style="360" customWidth="1"/>
    <col min="7683" max="7683" width="15.7109375" style="360" customWidth="1"/>
    <col min="7684" max="7684" width="18.28515625" style="360" customWidth="1"/>
    <col min="7685" max="7685" width="17.85546875" style="360" customWidth="1"/>
    <col min="7686" max="7686" width="0" style="360" hidden="1" customWidth="1"/>
    <col min="7687" max="7687" width="33.28515625" style="360" customWidth="1"/>
    <col min="7688" max="7935" width="10.7109375" style="360"/>
    <col min="7936" max="7936" width="13.140625" style="360" customWidth="1"/>
    <col min="7937" max="7937" width="38" style="360" customWidth="1"/>
    <col min="7938" max="7938" width="8.42578125" style="360" customWidth="1"/>
    <col min="7939" max="7939" width="15.7109375" style="360" customWidth="1"/>
    <col min="7940" max="7940" width="18.28515625" style="360" customWidth="1"/>
    <col min="7941" max="7941" width="17.85546875" style="360" customWidth="1"/>
    <col min="7942" max="7942" width="0" style="360" hidden="1" customWidth="1"/>
    <col min="7943" max="7943" width="33.28515625" style="360" customWidth="1"/>
    <col min="7944" max="8191" width="10.7109375" style="360"/>
    <col min="8192" max="8192" width="13.140625" style="360" customWidth="1"/>
    <col min="8193" max="8193" width="38" style="360" customWidth="1"/>
    <col min="8194" max="8194" width="8.42578125" style="360" customWidth="1"/>
    <col min="8195" max="8195" width="15.7109375" style="360" customWidth="1"/>
    <col min="8196" max="8196" width="18.28515625" style="360" customWidth="1"/>
    <col min="8197" max="8197" width="17.85546875" style="360" customWidth="1"/>
    <col min="8198" max="8198" width="0" style="360" hidden="1" customWidth="1"/>
    <col min="8199" max="8199" width="33.28515625" style="360" customWidth="1"/>
    <col min="8200" max="8447" width="10.7109375" style="360"/>
    <col min="8448" max="8448" width="13.140625" style="360" customWidth="1"/>
    <col min="8449" max="8449" width="38" style="360" customWidth="1"/>
    <col min="8450" max="8450" width="8.42578125" style="360" customWidth="1"/>
    <col min="8451" max="8451" width="15.7109375" style="360" customWidth="1"/>
    <col min="8452" max="8452" width="18.28515625" style="360" customWidth="1"/>
    <col min="8453" max="8453" width="17.85546875" style="360" customWidth="1"/>
    <col min="8454" max="8454" width="0" style="360" hidden="1" customWidth="1"/>
    <col min="8455" max="8455" width="33.28515625" style="360" customWidth="1"/>
    <col min="8456" max="8703" width="10.7109375" style="360"/>
    <col min="8704" max="8704" width="13.140625" style="360" customWidth="1"/>
    <col min="8705" max="8705" width="38" style="360" customWidth="1"/>
    <col min="8706" max="8706" width="8.42578125" style="360" customWidth="1"/>
    <col min="8707" max="8707" width="15.7109375" style="360" customWidth="1"/>
    <col min="8708" max="8708" width="18.28515625" style="360" customWidth="1"/>
    <col min="8709" max="8709" width="17.85546875" style="360" customWidth="1"/>
    <col min="8710" max="8710" width="0" style="360" hidden="1" customWidth="1"/>
    <col min="8711" max="8711" width="33.28515625" style="360" customWidth="1"/>
    <col min="8712" max="8959" width="10.7109375" style="360"/>
    <col min="8960" max="8960" width="13.140625" style="360" customWidth="1"/>
    <col min="8961" max="8961" width="38" style="360" customWidth="1"/>
    <col min="8962" max="8962" width="8.42578125" style="360" customWidth="1"/>
    <col min="8963" max="8963" width="15.7109375" style="360" customWidth="1"/>
    <col min="8964" max="8964" width="18.28515625" style="360" customWidth="1"/>
    <col min="8965" max="8965" width="17.85546875" style="360" customWidth="1"/>
    <col min="8966" max="8966" width="0" style="360" hidden="1" customWidth="1"/>
    <col min="8967" max="8967" width="33.28515625" style="360" customWidth="1"/>
    <col min="8968" max="9215" width="10.7109375" style="360"/>
    <col min="9216" max="9216" width="13.140625" style="360" customWidth="1"/>
    <col min="9217" max="9217" width="38" style="360" customWidth="1"/>
    <col min="9218" max="9218" width="8.42578125" style="360" customWidth="1"/>
    <col min="9219" max="9219" width="15.7109375" style="360" customWidth="1"/>
    <col min="9220" max="9220" width="18.28515625" style="360" customWidth="1"/>
    <col min="9221" max="9221" width="17.85546875" style="360" customWidth="1"/>
    <col min="9222" max="9222" width="0" style="360" hidden="1" customWidth="1"/>
    <col min="9223" max="9223" width="33.28515625" style="360" customWidth="1"/>
    <col min="9224" max="9471" width="10.7109375" style="360"/>
    <col min="9472" max="9472" width="13.140625" style="360" customWidth="1"/>
    <col min="9473" max="9473" width="38" style="360" customWidth="1"/>
    <col min="9474" max="9474" width="8.42578125" style="360" customWidth="1"/>
    <col min="9475" max="9475" width="15.7109375" style="360" customWidth="1"/>
    <col min="9476" max="9476" width="18.28515625" style="360" customWidth="1"/>
    <col min="9477" max="9477" width="17.85546875" style="360" customWidth="1"/>
    <col min="9478" max="9478" width="0" style="360" hidden="1" customWidth="1"/>
    <col min="9479" max="9479" width="33.28515625" style="360" customWidth="1"/>
    <col min="9480" max="9727" width="10.7109375" style="360"/>
    <col min="9728" max="9728" width="13.140625" style="360" customWidth="1"/>
    <col min="9729" max="9729" width="38" style="360" customWidth="1"/>
    <col min="9730" max="9730" width="8.42578125" style="360" customWidth="1"/>
    <col min="9731" max="9731" width="15.7109375" style="360" customWidth="1"/>
    <col min="9732" max="9732" width="18.28515625" style="360" customWidth="1"/>
    <col min="9733" max="9733" width="17.85546875" style="360" customWidth="1"/>
    <col min="9734" max="9734" width="0" style="360" hidden="1" customWidth="1"/>
    <col min="9735" max="9735" width="33.28515625" style="360" customWidth="1"/>
    <col min="9736" max="9983" width="10.7109375" style="360"/>
    <col min="9984" max="9984" width="13.140625" style="360" customWidth="1"/>
    <col min="9985" max="9985" width="38" style="360" customWidth="1"/>
    <col min="9986" max="9986" width="8.42578125" style="360" customWidth="1"/>
    <col min="9987" max="9987" width="15.7109375" style="360" customWidth="1"/>
    <col min="9988" max="9988" width="18.28515625" style="360" customWidth="1"/>
    <col min="9989" max="9989" width="17.85546875" style="360" customWidth="1"/>
    <col min="9990" max="9990" width="0" style="360" hidden="1" customWidth="1"/>
    <col min="9991" max="9991" width="33.28515625" style="360" customWidth="1"/>
    <col min="9992" max="10239" width="10.7109375" style="360"/>
    <col min="10240" max="10240" width="13.140625" style="360" customWidth="1"/>
    <col min="10241" max="10241" width="38" style="360" customWidth="1"/>
    <col min="10242" max="10242" width="8.42578125" style="360" customWidth="1"/>
    <col min="10243" max="10243" width="15.7109375" style="360" customWidth="1"/>
    <col min="10244" max="10244" width="18.28515625" style="360" customWidth="1"/>
    <col min="10245" max="10245" width="17.85546875" style="360" customWidth="1"/>
    <col min="10246" max="10246" width="0" style="360" hidden="1" customWidth="1"/>
    <col min="10247" max="10247" width="33.28515625" style="360" customWidth="1"/>
    <col min="10248" max="10495" width="10.7109375" style="360"/>
    <col min="10496" max="10496" width="13.140625" style="360" customWidth="1"/>
    <col min="10497" max="10497" width="38" style="360" customWidth="1"/>
    <col min="10498" max="10498" width="8.42578125" style="360" customWidth="1"/>
    <col min="10499" max="10499" width="15.7109375" style="360" customWidth="1"/>
    <col min="10500" max="10500" width="18.28515625" style="360" customWidth="1"/>
    <col min="10501" max="10501" width="17.85546875" style="360" customWidth="1"/>
    <col min="10502" max="10502" width="0" style="360" hidden="1" customWidth="1"/>
    <col min="10503" max="10503" width="33.28515625" style="360" customWidth="1"/>
    <col min="10504" max="10751" width="10.7109375" style="360"/>
    <col min="10752" max="10752" width="13.140625" style="360" customWidth="1"/>
    <col min="10753" max="10753" width="38" style="360" customWidth="1"/>
    <col min="10754" max="10754" width="8.42578125" style="360" customWidth="1"/>
    <col min="10755" max="10755" width="15.7109375" style="360" customWidth="1"/>
    <col min="10756" max="10756" width="18.28515625" style="360" customWidth="1"/>
    <col min="10757" max="10757" width="17.85546875" style="360" customWidth="1"/>
    <col min="10758" max="10758" width="0" style="360" hidden="1" customWidth="1"/>
    <col min="10759" max="10759" width="33.28515625" style="360" customWidth="1"/>
    <col min="10760" max="11007" width="10.7109375" style="360"/>
    <col min="11008" max="11008" width="13.140625" style="360" customWidth="1"/>
    <col min="11009" max="11009" width="38" style="360" customWidth="1"/>
    <col min="11010" max="11010" width="8.42578125" style="360" customWidth="1"/>
    <col min="11011" max="11011" width="15.7109375" style="360" customWidth="1"/>
    <col min="11012" max="11012" width="18.28515625" style="360" customWidth="1"/>
    <col min="11013" max="11013" width="17.85546875" style="360" customWidth="1"/>
    <col min="11014" max="11014" width="0" style="360" hidden="1" customWidth="1"/>
    <col min="11015" max="11015" width="33.28515625" style="360" customWidth="1"/>
    <col min="11016" max="11263" width="10.7109375" style="360"/>
    <col min="11264" max="11264" width="13.140625" style="360" customWidth="1"/>
    <col min="11265" max="11265" width="38" style="360" customWidth="1"/>
    <col min="11266" max="11266" width="8.42578125" style="360" customWidth="1"/>
    <col min="11267" max="11267" width="15.7109375" style="360" customWidth="1"/>
    <col min="11268" max="11268" width="18.28515625" style="360" customWidth="1"/>
    <col min="11269" max="11269" width="17.85546875" style="360" customWidth="1"/>
    <col min="11270" max="11270" width="0" style="360" hidden="1" customWidth="1"/>
    <col min="11271" max="11271" width="33.28515625" style="360" customWidth="1"/>
    <col min="11272" max="11519" width="10.7109375" style="360"/>
    <col min="11520" max="11520" width="13.140625" style="360" customWidth="1"/>
    <col min="11521" max="11521" width="38" style="360" customWidth="1"/>
    <col min="11522" max="11522" width="8.42578125" style="360" customWidth="1"/>
    <col min="11523" max="11523" width="15.7109375" style="360" customWidth="1"/>
    <col min="11524" max="11524" width="18.28515625" style="360" customWidth="1"/>
    <col min="11525" max="11525" width="17.85546875" style="360" customWidth="1"/>
    <col min="11526" max="11526" width="0" style="360" hidden="1" customWidth="1"/>
    <col min="11527" max="11527" width="33.28515625" style="360" customWidth="1"/>
    <col min="11528" max="11775" width="10.7109375" style="360"/>
    <col min="11776" max="11776" width="13.140625" style="360" customWidth="1"/>
    <col min="11777" max="11777" width="38" style="360" customWidth="1"/>
    <col min="11778" max="11778" width="8.42578125" style="360" customWidth="1"/>
    <col min="11779" max="11779" width="15.7109375" style="360" customWidth="1"/>
    <col min="11780" max="11780" width="18.28515625" style="360" customWidth="1"/>
    <col min="11781" max="11781" width="17.85546875" style="360" customWidth="1"/>
    <col min="11782" max="11782" width="0" style="360" hidden="1" customWidth="1"/>
    <col min="11783" max="11783" width="33.28515625" style="360" customWidth="1"/>
    <col min="11784" max="12031" width="10.7109375" style="360"/>
    <col min="12032" max="12032" width="13.140625" style="360" customWidth="1"/>
    <col min="12033" max="12033" width="38" style="360" customWidth="1"/>
    <col min="12034" max="12034" width="8.42578125" style="360" customWidth="1"/>
    <col min="12035" max="12035" width="15.7109375" style="360" customWidth="1"/>
    <col min="12036" max="12036" width="18.28515625" style="360" customWidth="1"/>
    <col min="12037" max="12037" width="17.85546875" style="360" customWidth="1"/>
    <col min="12038" max="12038" width="0" style="360" hidden="1" customWidth="1"/>
    <col min="12039" max="12039" width="33.28515625" style="360" customWidth="1"/>
    <col min="12040" max="12287" width="10.7109375" style="360"/>
    <col min="12288" max="12288" width="13.140625" style="360" customWidth="1"/>
    <col min="12289" max="12289" width="38" style="360" customWidth="1"/>
    <col min="12290" max="12290" width="8.42578125" style="360" customWidth="1"/>
    <col min="12291" max="12291" width="15.7109375" style="360" customWidth="1"/>
    <col min="12292" max="12292" width="18.28515625" style="360" customWidth="1"/>
    <col min="12293" max="12293" width="17.85546875" style="360" customWidth="1"/>
    <col min="12294" max="12294" width="0" style="360" hidden="1" customWidth="1"/>
    <col min="12295" max="12295" width="33.28515625" style="360" customWidth="1"/>
    <col min="12296" max="12543" width="10.7109375" style="360"/>
    <col min="12544" max="12544" width="13.140625" style="360" customWidth="1"/>
    <col min="12545" max="12545" width="38" style="360" customWidth="1"/>
    <col min="12546" max="12546" width="8.42578125" style="360" customWidth="1"/>
    <col min="12547" max="12547" width="15.7109375" style="360" customWidth="1"/>
    <col min="12548" max="12548" width="18.28515625" style="360" customWidth="1"/>
    <col min="12549" max="12549" width="17.85546875" style="360" customWidth="1"/>
    <col min="12550" max="12550" width="0" style="360" hidden="1" customWidth="1"/>
    <col min="12551" max="12551" width="33.28515625" style="360" customWidth="1"/>
    <col min="12552" max="12799" width="10.7109375" style="360"/>
    <col min="12800" max="12800" width="13.140625" style="360" customWidth="1"/>
    <col min="12801" max="12801" width="38" style="360" customWidth="1"/>
    <col min="12802" max="12802" width="8.42578125" style="360" customWidth="1"/>
    <col min="12803" max="12803" width="15.7109375" style="360" customWidth="1"/>
    <col min="12804" max="12804" width="18.28515625" style="360" customWidth="1"/>
    <col min="12805" max="12805" width="17.85546875" style="360" customWidth="1"/>
    <col min="12806" max="12806" width="0" style="360" hidden="1" customWidth="1"/>
    <col min="12807" max="12807" width="33.28515625" style="360" customWidth="1"/>
    <col min="12808" max="13055" width="10.7109375" style="360"/>
    <col min="13056" max="13056" width="13.140625" style="360" customWidth="1"/>
    <col min="13057" max="13057" width="38" style="360" customWidth="1"/>
    <col min="13058" max="13058" width="8.42578125" style="360" customWidth="1"/>
    <col min="13059" max="13059" width="15.7109375" style="360" customWidth="1"/>
    <col min="13060" max="13060" width="18.28515625" style="360" customWidth="1"/>
    <col min="13061" max="13061" width="17.85546875" style="360" customWidth="1"/>
    <col min="13062" max="13062" width="0" style="360" hidden="1" customWidth="1"/>
    <col min="13063" max="13063" width="33.28515625" style="360" customWidth="1"/>
    <col min="13064" max="13311" width="10.7109375" style="360"/>
    <col min="13312" max="13312" width="13.140625" style="360" customWidth="1"/>
    <col min="13313" max="13313" width="38" style="360" customWidth="1"/>
    <col min="13314" max="13314" width="8.42578125" style="360" customWidth="1"/>
    <col min="13315" max="13315" width="15.7109375" style="360" customWidth="1"/>
    <col min="13316" max="13316" width="18.28515625" style="360" customWidth="1"/>
    <col min="13317" max="13317" width="17.85546875" style="360" customWidth="1"/>
    <col min="13318" max="13318" width="0" style="360" hidden="1" customWidth="1"/>
    <col min="13319" max="13319" width="33.28515625" style="360" customWidth="1"/>
    <col min="13320" max="13567" width="10.7109375" style="360"/>
    <col min="13568" max="13568" width="13.140625" style="360" customWidth="1"/>
    <col min="13569" max="13569" width="38" style="360" customWidth="1"/>
    <col min="13570" max="13570" width="8.42578125" style="360" customWidth="1"/>
    <col min="13571" max="13571" width="15.7109375" style="360" customWidth="1"/>
    <col min="13572" max="13572" width="18.28515625" style="360" customWidth="1"/>
    <col min="13573" max="13573" width="17.85546875" style="360" customWidth="1"/>
    <col min="13574" max="13574" width="0" style="360" hidden="1" customWidth="1"/>
    <col min="13575" max="13575" width="33.28515625" style="360" customWidth="1"/>
    <col min="13576" max="13823" width="10.7109375" style="360"/>
    <col min="13824" max="13824" width="13.140625" style="360" customWidth="1"/>
    <col min="13825" max="13825" width="38" style="360" customWidth="1"/>
    <col min="13826" max="13826" width="8.42578125" style="360" customWidth="1"/>
    <col min="13827" max="13827" width="15.7109375" style="360" customWidth="1"/>
    <col min="13828" max="13828" width="18.28515625" style="360" customWidth="1"/>
    <col min="13829" max="13829" width="17.85546875" style="360" customWidth="1"/>
    <col min="13830" max="13830" width="0" style="360" hidden="1" customWidth="1"/>
    <col min="13831" max="13831" width="33.28515625" style="360" customWidth="1"/>
    <col min="13832" max="14079" width="10.7109375" style="360"/>
    <col min="14080" max="14080" width="13.140625" style="360" customWidth="1"/>
    <col min="14081" max="14081" width="38" style="360" customWidth="1"/>
    <col min="14082" max="14082" width="8.42578125" style="360" customWidth="1"/>
    <col min="14083" max="14083" width="15.7109375" style="360" customWidth="1"/>
    <col min="14084" max="14084" width="18.28515625" style="360" customWidth="1"/>
    <col min="14085" max="14085" width="17.85546875" style="360" customWidth="1"/>
    <col min="14086" max="14086" width="0" style="360" hidden="1" customWidth="1"/>
    <col min="14087" max="14087" width="33.28515625" style="360" customWidth="1"/>
    <col min="14088" max="14335" width="10.7109375" style="360"/>
    <col min="14336" max="14336" width="13.140625" style="360" customWidth="1"/>
    <col min="14337" max="14337" width="38" style="360" customWidth="1"/>
    <col min="14338" max="14338" width="8.42578125" style="360" customWidth="1"/>
    <col min="14339" max="14339" width="15.7109375" style="360" customWidth="1"/>
    <col min="14340" max="14340" width="18.28515625" style="360" customWidth="1"/>
    <col min="14341" max="14341" width="17.85546875" style="360" customWidth="1"/>
    <col min="14342" max="14342" width="0" style="360" hidden="1" customWidth="1"/>
    <col min="14343" max="14343" width="33.28515625" style="360" customWidth="1"/>
    <col min="14344" max="14591" width="10.7109375" style="360"/>
    <col min="14592" max="14592" width="13.140625" style="360" customWidth="1"/>
    <col min="14593" max="14593" width="38" style="360" customWidth="1"/>
    <col min="14594" max="14594" width="8.42578125" style="360" customWidth="1"/>
    <col min="14595" max="14595" width="15.7109375" style="360" customWidth="1"/>
    <col min="14596" max="14596" width="18.28515625" style="360" customWidth="1"/>
    <col min="14597" max="14597" width="17.85546875" style="360" customWidth="1"/>
    <col min="14598" max="14598" width="0" style="360" hidden="1" customWidth="1"/>
    <col min="14599" max="14599" width="33.28515625" style="360" customWidth="1"/>
    <col min="14600" max="14847" width="10.7109375" style="360"/>
    <col min="14848" max="14848" width="13.140625" style="360" customWidth="1"/>
    <col min="14849" max="14849" width="38" style="360" customWidth="1"/>
    <col min="14850" max="14850" width="8.42578125" style="360" customWidth="1"/>
    <col min="14851" max="14851" width="15.7109375" style="360" customWidth="1"/>
    <col min="14852" max="14852" width="18.28515625" style="360" customWidth="1"/>
    <col min="14853" max="14853" width="17.85546875" style="360" customWidth="1"/>
    <col min="14854" max="14854" width="0" style="360" hidden="1" customWidth="1"/>
    <col min="14855" max="14855" width="33.28515625" style="360" customWidth="1"/>
    <col min="14856" max="15103" width="10.7109375" style="360"/>
    <col min="15104" max="15104" width="13.140625" style="360" customWidth="1"/>
    <col min="15105" max="15105" width="38" style="360" customWidth="1"/>
    <col min="15106" max="15106" width="8.42578125" style="360" customWidth="1"/>
    <col min="15107" max="15107" width="15.7109375" style="360" customWidth="1"/>
    <col min="15108" max="15108" width="18.28515625" style="360" customWidth="1"/>
    <col min="15109" max="15109" width="17.85546875" style="360" customWidth="1"/>
    <col min="15110" max="15110" width="0" style="360" hidden="1" customWidth="1"/>
    <col min="15111" max="15111" width="33.28515625" style="360" customWidth="1"/>
    <col min="15112" max="15359" width="10.7109375" style="360"/>
    <col min="15360" max="15360" width="13.140625" style="360" customWidth="1"/>
    <col min="15361" max="15361" width="38" style="360" customWidth="1"/>
    <col min="15362" max="15362" width="8.42578125" style="360" customWidth="1"/>
    <col min="15363" max="15363" width="15.7109375" style="360" customWidth="1"/>
    <col min="15364" max="15364" width="18.28515625" style="360" customWidth="1"/>
    <col min="15365" max="15365" width="17.85546875" style="360" customWidth="1"/>
    <col min="15366" max="15366" width="0" style="360" hidden="1" customWidth="1"/>
    <col min="15367" max="15367" width="33.28515625" style="360" customWidth="1"/>
    <col min="15368" max="15615" width="10.7109375" style="360"/>
    <col min="15616" max="15616" width="13.140625" style="360" customWidth="1"/>
    <col min="15617" max="15617" width="38" style="360" customWidth="1"/>
    <col min="15618" max="15618" width="8.42578125" style="360" customWidth="1"/>
    <col min="15619" max="15619" width="15.7109375" style="360" customWidth="1"/>
    <col min="15620" max="15620" width="18.28515625" style="360" customWidth="1"/>
    <col min="15621" max="15621" width="17.85546875" style="360" customWidth="1"/>
    <col min="15622" max="15622" width="0" style="360" hidden="1" customWidth="1"/>
    <col min="15623" max="15623" width="33.28515625" style="360" customWidth="1"/>
    <col min="15624" max="15871" width="10.7109375" style="360"/>
    <col min="15872" max="15872" width="13.140625" style="360" customWidth="1"/>
    <col min="15873" max="15873" width="38" style="360" customWidth="1"/>
    <col min="15874" max="15874" width="8.42578125" style="360" customWidth="1"/>
    <col min="15875" max="15875" width="15.7109375" style="360" customWidth="1"/>
    <col min="15876" max="15876" width="18.28515625" style="360" customWidth="1"/>
    <col min="15877" max="15877" width="17.85546875" style="360" customWidth="1"/>
    <col min="15878" max="15878" width="0" style="360" hidden="1" customWidth="1"/>
    <col min="15879" max="15879" width="33.28515625" style="360" customWidth="1"/>
    <col min="15880" max="16127" width="10.7109375" style="360"/>
    <col min="16128" max="16128" width="13.140625" style="360" customWidth="1"/>
    <col min="16129" max="16129" width="38" style="360" customWidth="1"/>
    <col min="16130" max="16130" width="8.42578125" style="360" customWidth="1"/>
    <col min="16131" max="16131" width="15.7109375" style="360" customWidth="1"/>
    <col min="16132" max="16132" width="18.28515625" style="360" customWidth="1"/>
    <col min="16133" max="16133" width="17.85546875" style="360" customWidth="1"/>
    <col min="16134" max="16134" width="0" style="360" hidden="1" customWidth="1"/>
    <col min="16135" max="16135" width="33.28515625" style="360" customWidth="1"/>
    <col min="16136" max="16384" width="10.7109375" style="360"/>
  </cols>
  <sheetData>
    <row r="1" spans="1:9" ht="15" customHeight="1" x14ac:dyDescent="0.3">
      <c r="A1" s="547" t="str">
        <f>'08-DO'!B2</f>
        <v>PROIECT : Extindere infrastructură educațională – Centrul Școlar pentru Educație înclusivă „Constantin Pufan”</v>
      </c>
      <c r="B1" s="356"/>
      <c r="C1" s="357"/>
      <c r="D1" s="358"/>
      <c r="E1" s="358"/>
      <c r="F1" s="359"/>
      <c r="G1" s="359"/>
    </row>
    <row r="2" spans="1:9" ht="15" customHeight="1" x14ac:dyDescent="0.3">
      <c r="A2" s="361"/>
      <c r="B2" s="356"/>
      <c r="C2" s="357"/>
      <c r="D2" s="358"/>
      <c r="E2" s="358"/>
      <c r="F2" s="359"/>
      <c r="G2" s="359"/>
    </row>
    <row r="3" spans="1:9" ht="15" customHeight="1" x14ac:dyDescent="0.3">
      <c r="A3" s="359"/>
      <c r="B3" s="362"/>
      <c r="C3" s="357"/>
      <c r="D3" s="358"/>
      <c r="E3" s="358"/>
      <c r="F3" s="359"/>
      <c r="G3" s="359"/>
    </row>
    <row r="4" spans="1:9" ht="15" customHeight="1" x14ac:dyDescent="0.3">
      <c r="A4" s="1445" t="s">
        <v>1178</v>
      </c>
      <c r="B4" s="1445"/>
      <c r="C4" s="1445"/>
      <c r="D4" s="1445"/>
      <c r="E4" s="1445"/>
      <c r="F4" s="1445"/>
      <c r="G4" s="1445"/>
    </row>
    <row r="5" spans="1:9" ht="15" customHeight="1" x14ac:dyDescent="0.3">
      <c r="A5" s="1445" t="s">
        <v>1194</v>
      </c>
      <c r="B5" s="1445"/>
      <c r="C5" s="1445"/>
      <c r="D5" s="1445"/>
      <c r="E5" s="1445"/>
      <c r="F5" s="1445"/>
      <c r="G5" s="1445"/>
    </row>
    <row r="6" spans="1:9" ht="15" customHeight="1" x14ac:dyDescent="0.3">
      <c r="A6" s="1445" t="str">
        <f>DG!C67</f>
        <v>OBIECT 8 - Amenajare teren sportiv</v>
      </c>
      <c r="B6" s="1445"/>
      <c r="C6" s="1445"/>
      <c r="D6" s="1445"/>
      <c r="E6" s="1445"/>
      <c r="F6" s="1445"/>
      <c r="G6" s="1445"/>
    </row>
    <row r="7" spans="1:9" ht="15" customHeight="1" x14ac:dyDescent="0.3">
      <c r="A7" s="359"/>
      <c r="B7" s="362"/>
      <c r="C7" s="357"/>
      <c r="D7" s="358"/>
      <c r="E7" s="358"/>
      <c r="F7" s="359"/>
      <c r="G7" s="359"/>
    </row>
    <row r="8" spans="1:9" ht="25.5" x14ac:dyDescent="0.25">
      <c r="A8" s="1446" t="s">
        <v>1179</v>
      </c>
      <c r="B8" s="1446" t="s">
        <v>1180</v>
      </c>
      <c r="C8" s="1446" t="s">
        <v>1181</v>
      </c>
      <c r="D8" s="1448" t="s">
        <v>1182</v>
      </c>
      <c r="E8" s="602" t="s">
        <v>1183</v>
      </c>
      <c r="F8" s="1446" t="s">
        <v>1184</v>
      </c>
      <c r="G8" s="1446" t="s">
        <v>1185</v>
      </c>
      <c r="I8" s="363"/>
    </row>
    <row r="9" spans="1:9" ht="15" customHeight="1" x14ac:dyDescent="0.25">
      <c r="A9" s="1450"/>
      <c r="B9" s="1450"/>
      <c r="C9" s="1450"/>
      <c r="D9" s="1451"/>
      <c r="E9" s="603" t="s">
        <v>1186</v>
      </c>
      <c r="F9" s="1450"/>
      <c r="G9" s="1450"/>
      <c r="I9" s="363"/>
    </row>
    <row r="10" spans="1:9" ht="15" customHeight="1" x14ac:dyDescent="0.3">
      <c r="A10" s="578">
        <v>1</v>
      </c>
      <c r="B10" s="578">
        <v>2</v>
      </c>
      <c r="C10" s="578">
        <v>3</v>
      </c>
      <c r="D10" s="579">
        <v>4</v>
      </c>
      <c r="E10" s="579">
        <v>5</v>
      </c>
      <c r="F10" s="578">
        <v>7</v>
      </c>
      <c r="G10" s="578">
        <v>6</v>
      </c>
    </row>
    <row r="11" spans="1:9" ht="75.75" customHeight="1" x14ac:dyDescent="0.3">
      <c r="A11" s="366">
        <v>1</v>
      </c>
      <c r="B11" s="558"/>
      <c r="C11" s="531"/>
      <c r="D11" s="369"/>
      <c r="E11" s="401">
        <f t="shared" ref="E11" si="0">C11*D11</f>
        <v>0</v>
      </c>
      <c r="F11" s="367"/>
      <c r="G11" s="609"/>
      <c r="H11" s="426"/>
    </row>
    <row r="12" spans="1:9" ht="57.75" customHeight="1" x14ac:dyDescent="0.3">
      <c r="A12" s="366">
        <v>2</v>
      </c>
      <c r="B12" s="558"/>
      <c r="C12" s="531"/>
      <c r="D12" s="369"/>
      <c r="E12" s="401">
        <f>C12*D12</f>
        <v>0</v>
      </c>
      <c r="F12" s="367"/>
      <c r="G12" s="609"/>
      <c r="H12" s="426"/>
    </row>
    <row r="13" spans="1:9" ht="14.45" x14ac:dyDescent="0.3">
      <c r="A13" s="1444" t="s">
        <v>545</v>
      </c>
      <c r="B13" s="1444"/>
      <c r="C13" s="1444"/>
      <c r="D13" s="1444"/>
      <c r="E13" s="370">
        <f>SUM(E11:E12)</f>
        <v>0</v>
      </c>
      <c r="F13" s="1444" t="s">
        <v>1188</v>
      </c>
      <c r="G13" s="1444"/>
      <c r="H13" s="426"/>
    </row>
    <row r="14" spans="1:9" ht="15" customHeight="1" x14ac:dyDescent="0.3">
      <c r="A14" s="359"/>
      <c r="B14" s="371"/>
      <c r="C14" s="372"/>
      <c r="D14" s="358"/>
      <c r="E14" s="358"/>
      <c r="F14" s="359"/>
      <c r="G14" s="359"/>
    </row>
    <row r="15" spans="1:9" ht="15" customHeight="1" x14ac:dyDescent="0.25">
      <c r="A15" s="359"/>
      <c r="B15" s="362"/>
      <c r="C15" s="357"/>
      <c r="D15" s="358"/>
      <c r="E15" s="358"/>
      <c r="F15" s="359"/>
      <c r="G15" s="44" t="s">
        <v>82</v>
      </c>
    </row>
    <row r="16" spans="1:9" ht="15" customHeight="1" x14ac:dyDescent="0.25">
      <c r="A16" s="359"/>
      <c r="B16" s="371"/>
      <c r="C16" s="357"/>
      <c r="D16" s="358"/>
      <c r="E16" s="358"/>
      <c r="F16" s="359"/>
      <c r="G16" s="45" t="s">
        <v>1448</v>
      </c>
    </row>
    <row r="17" spans="1:7" ht="15" customHeight="1" x14ac:dyDescent="0.25">
      <c r="A17" s="359"/>
      <c r="B17" s="362"/>
      <c r="C17" s="357"/>
      <c r="D17" s="358"/>
      <c r="E17" s="358"/>
      <c r="F17" s="359"/>
      <c r="G17" s="44" t="s">
        <v>1446</v>
      </c>
    </row>
    <row r="18" spans="1:7" ht="15" customHeight="1" x14ac:dyDescent="0.25">
      <c r="A18" s="359"/>
      <c r="B18" s="371"/>
      <c r="C18" s="357"/>
      <c r="D18" s="358"/>
      <c r="E18" s="358"/>
      <c r="F18" s="359"/>
      <c r="G18" s="45" t="s">
        <v>83</v>
      </c>
    </row>
    <row r="19" spans="1:7" ht="15" customHeight="1" x14ac:dyDescent="0.25">
      <c r="A19" s="359"/>
      <c r="B19" s="362"/>
      <c r="C19" s="357"/>
      <c r="D19" s="358"/>
      <c r="E19" s="358"/>
      <c r="F19" s="359"/>
      <c r="G19" s="45" t="s">
        <v>1447</v>
      </c>
    </row>
    <row r="20" spans="1:7" ht="15" customHeight="1" x14ac:dyDescent="0.3">
      <c r="A20" s="359"/>
      <c r="B20" s="371"/>
      <c r="C20" s="357"/>
      <c r="D20" s="358"/>
      <c r="E20" s="358"/>
      <c r="F20" s="359"/>
      <c r="G20" s="359"/>
    </row>
    <row r="21" spans="1:7" ht="15" customHeight="1" x14ac:dyDescent="0.3"/>
    <row r="22" spans="1:7" ht="15" customHeight="1" x14ac:dyDescent="0.3">
      <c r="A22" s="373"/>
      <c r="C22" s="373"/>
      <c r="D22" s="523"/>
      <c r="E22" s="523"/>
      <c r="F22" s="373"/>
      <c r="G22" s="373"/>
    </row>
    <row r="23" spans="1:7" ht="15" customHeight="1" x14ac:dyDescent="0.3">
      <c r="A23" s="373"/>
      <c r="C23" s="373"/>
      <c r="D23" s="523"/>
      <c r="E23" s="523"/>
      <c r="F23" s="373"/>
      <c r="G23" s="373"/>
    </row>
    <row r="24" spans="1:7" ht="15" customHeight="1" x14ac:dyDescent="0.3">
      <c r="A24" s="524"/>
      <c r="C24" s="373"/>
      <c r="D24" s="523"/>
      <c r="E24" s="523"/>
      <c r="F24" s="373"/>
      <c r="G24" s="373"/>
    </row>
    <row r="25" spans="1:7" ht="15" customHeight="1" x14ac:dyDescent="0.3">
      <c r="A25" s="525"/>
      <c r="C25" s="373"/>
      <c r="D25" s="523"/>
      <c r="E25" s="523"/>
      <c r="F25" s="373"/>
      <c r="G25" s="389"/>
    </row>
    <row r="26" spans="1:7" ht="15" customHeight="1" x14ac:dyDescent="0.25">
      <c r="A26" s="527"/>
      <c r="C26" s="373"/>
      <c r="D26" s="523"/>
      <c r="E26" s="523"/>
      <c r="F26" s="373"/>
      <c r="G26" s="373"/>
    </row>
    <row r="27" spans="1:7" ht="15" customHeight="1" x14ac:dyDescent="0.25">
      <c r="A27" s="525"/>
      <c r="C27" s="373"/>
      <c r="D27" s="523"/>
      <c r="E27" s="523"/>
      <c r="F27" s="373"/>
      <c r="G27" s="373"/>
    </row>
    <row r="28" spans="1:7" ht="15" customHeight="1" x14ac:dyDescent="0.25">
      <c r="A28" s="525"/>
      <c r="C28" s="373"/>
      <c r="D28" s="523"/>
      <c r="E28" s="523"/>
      <c r="F28" s="373"/>
      <c r="G28" s="389"/>
    </row>
    <row r="29" spans="1:7" ht="15" customHeight="1" x14ac:dyDescent="0.25">
      <c r="A29" s="525"/>
      <c r="C29" s="373"/>
      <c r="D29" s="523"/>
      <c r="E29" s="523"/>
      <c r="F29" s="373"/>
      <c r="G29" s="373"/>
    </row>
    <row r="30" spans="1:7" ht="15" customHeight="1" x14ac:dyDescent="0.25">
      <c r="A30" s="525"/>
      <c r="C30" s="373"/>
      <c r="D30" s="523"/>
      <c r="E30" s="523"/>
      <c r="F30" s="373"/>
      <c r="G30" s="373"/>
    </row>
    <row r="31" spans="1:7" ht="15" customHeight="1" x14ac:dyDescent="0.25">
      <c r="A31" s="525"/>
      <c r="C31" s="373"/>
      <c r="D31" s="523"/>
      <c r="E31" s="523"/>
      <c r="F31" s="373"/>
      <c r="G31" s="389"/>
    </row>
    <row r="32" spans="1:7" ht="15" customHeight="1" x14ac:dyDescent="0.25">
      <c r="A32" s="525"/>
      <c r="C32" s="373"/>
      <c r="D32" s="523"/>
      <c r="E32" s="523"/>
      <c r="F32" s="373"/>
      <c r="G32" s="373"/>
    </row>
    <row r="33" spans="1:15" ht="15" customHeight="1" x14ac:dyDescent="0.25">
      <c r="A33" s="525"/>
      <c r="C33" s="373"/>
      <c r="D33" s="523"/>
      <c r="E33" s="523"/>
      <c r="F33" s="373"/>
      <c r="G33" s="389"/>
    </row>
    <row r="34" spans="1:15" ht="15" customHeight="1" x14ac:dyDescent="0.25">
      <c r="A34" s="525"/>
      <c r="C34" s="373"/>
      <c r="D34" s="523"/>
      <c r="E34" s="523"/>
      <c r="F34" s="373"/>
      <c r="G34" s="373"/>
    </row>
    <row r="35" spans="1:15" ht="15" customHeight="1" x14ac:dyDescent="0.25">
      <c r="A35" s="525"/>
      <c r="C35" s="373"/>
      <c r="D35" s="523"/>
      <c r="E35" s="523"/>
      <c r="F35" s="373"/>
      <c r="G35" s="389"/>
    </row>
    <row r="36" spans="1:15" ht="15" customHeight="1" x14ac:dyDescent="0.25">
      <c r="A36" s="525"/>
      <c r="C36" s="373"/>
      <c r="D36" s="523"/>
      <c r="E36" s="523"/>
      <c r="F36" s="373"/>
      <c r="G36" s="373"/>
    </row>
    <row r="37" spans="1:15" ht="15" customHeight="1" x14ac:dyDescent="0.25">
      <c r="A37" s="525"/>
      <c r="C37" s="373"/>
      <c r="D37" s="523"/>
      <c r="E37" s="523"/>
      <c r="F37" s="373"/>
      <c r="G37" s="373"/>
    </row>
    <row r="38" spans="1:15" ht="15" customHeight="1" x14ac:dyDescent="0.25">
      <c r="A38" s="525"/>
      <c r="C38" s="373"/>
      <c r="D38" s="523"/>
      <c r="E38" s="523"/>
      <c r="F38" s="373"/>
      <c r="G38" s="389"/>
    </row>
    <row r="39" spans="1:15" ht="15" customHeight="1" x14ac:dyDescent="0.25">
      <c r="A39" s="525"/>
      <c r="C39" s="373"/>
      <c r="D39" s="523"/>
      <c r="E39" s="523"/>
      <c r="F39" s="373"/>
      <c r="G39" s="373"/>
    </row>
    <row r="40" spans="1:15" ht="15" customHeight="1" x14ac:dyDescent="0.25">
      <c r="A40" s="525"/>
      <c r="C40" s="373"/>
      <c r="D40" s="523"/>
      <c r="E40" s="523"/>
      <c r="F40" s="373"/>
      <c r="G40" s="389"/>
      <c r="H40" s="374"/>
      <c r="I40" s="374"/>
      <c r="J40" s="374"/>
      <c r="K40" s="374"/>
      <c r="L40" s="374"/>
      <c r="M40" s="374"/>
      <c r="N40" s="374"/>
      <c r="O40" s="374"/>
    </row>
    <row r="41" spans="1:15" ht="15" customHeight="1" x14ac:dyDescent="0.25">
      <c r="A41" s="525"/>
      <c r="C41" s="373"/>
      <c r="D41" s="523"/>
      <c r="E41" s="523"/>
      <c r="F41" s="373"/>
      <c r="G41" s="373"/>
      <c r="H41" s="374"/>
      <c r="I41" s="374"/>
      <c r="J41" s="374"/>
      <c r="K41" s="374"/>
      <c r="L41" s="374"/>
      <c r="M41" s="374"/>
      <c r="N41" s="374"/>
      <c r="O41" s="374"/>
    </row>
    <row r="42" spans="1:15" ht="15" customHeight="1" x14ac:dyDescent="0.25">
      <c r="A42" s="525"/>
      <c r="C42" s="373"/>
      <c r="D42" s="523"/>
      <c r="E42" s="523"/>
      <c r="F42" s="373"/>
      <c r="G42" s="373"/>
      <c r="H42" s="374"/>
      <c r="I42" s="374"/>
      <c r="J42" s="374"/>
      <c r="K42" s="374"/>
      <c r="L42" s="374"/>
      <c r="M42" s="374"/>
      <c r="N42" s="374"/>
      <c r="O42" s="374"/>
    </row>
    <row r="43" spans="1:15" ht="15" customHeight="1" x14ac:dyDescent="0.25">
      <c r="A43" s="525"/>
      <c r="C43" s="373"/>
      <c r="D43" s="523"/>
      <c r="E43" s="523"/>
      <c r="F43" s="373"/>
      <c r="G43" s="389"/>
      <c r="H43" s="374"/>
      <c r="I43" s="374"/>
      <c r="J43" s="374"/>
      <c r="K43" s="374"/>
      <c r="L43" s="374"/>
      <c r="M43" s="374"/>
      <c r="N43" s="374"/>
      <c r="O43" s="374"/>
    </row>
    <row r="44" spans="1:15" ht="15" customHeight="1" x14ac:dyDescent="0.25">
      <c r="A44" s="525"/>
      <c r="B44" s="526"/>
      <c r="C44" s="373"/>
      <c r="D44" s="523"/>
      <c r="E44" s="523"/>
      <c r="F44" s="373"/>
      <c r="G44" s="389"/>
      <c r="H44" s="374"/>
      <c r="I44" s="374"/>
      <c r="J44" s="374"/>
      <c r="K44" s="374"/>
      <c r="L44" s="374"/>
      <c r="M44" s="374"/>
      <c r="N44" s="374"/>
      <c r="O44" s="374"/>
    </row>
    <row r="45" spans="1:15" ht="15" customHeight="1" x14ac:dyDescent="0.25">
      <c r="A45" s="525"/>
      <c r="C45" s="373"/>
      <c r="D45" s="523"/>
      <c r="E45" s="523"/>
      <c r="F45" s="373"/>
      <c r="G45" s="389"/>
      <c r="H45" s="374"/>
      <c r="I45" s="374"/>
      <c r="J45" s="374"/>
      <c r="K45" s="374"/>
      <c r="L45" s="374"/>
      <c r="M45" s="374"/>
      <c r="N45" s="374"/>
      <c r="O45" s="374"/>
    </row>
    <row r="46" spans="1:15" ht="15" customHeight="1" x14ac:dyDescent="0.25">
      <c r="A46" s="525"/>
      <c r="C46" s="373"/>
      <c r="D46" s="523"/>
      <c r="E46" s="523"/>
      <c r="F46" s="373"/>
      <c r="G46" s="389"/>
      <c r="H46" s="374"/>
      <c r="I46" s="374"/>
      <c r="J46" s="374"/>
      <c r="K46" s="374"/>
      <c r="L46" s="374"/>
      <c r="M46" s="374"/>
      <c r="N46" s="374"/>
      <c r="O46" s="374"/>
    </row>
    <row r="47" spans="1:15" ht="15" customHeight="1" x14ac:dyDescent="0.25">
      <c r="A47" s="525"/>
      <c r="C47" s="373"/>
      <c r="D47" s="523"/>
      <c r="E47" s="523"/>
      <c r="F47" s="373"/>
      <c r="G47" s="389"/>
      <c r="H47" s="374"/>
      <c r="I47" s="374"/>
      <c r="J47" s="374"/>
      <c r="K47" s="374"/>
      <c r="L47" s="374"/>
      <c r="M47" s="374"/>
      <c r="N47" s="374"/>
      <c r="O47" s="374"/>
    </row>
    <row r="48" spans="1:15" ht="15" customHeight="1" x14ac:dyDescent="0.25">
      <c r="A48" s="525"/>
      <c r="C48" s="373"/>
      <c r="D48" s="523"/>
      <c r="E48" s="523"/>
      <c r="F48" s="373"/>
      <c r="G48" s="389"/>
      <c r="H48" s="374"/>
      <c r="I48" s="374"/>
      <c r="J48" s="374"/>
      <c r="K48" s="374"/>
      <c r="L48" s="374"/>
      <c r="M48" s="374"/>
      <c r="N48" s="374"/>
      <c r="O48" s="374"/>
    </row>
    <row r="49" spans="1:15" ht="15" customHeight="1" x14ac:dyDescent="0.25">
      <c r="A49" s="525"/>
      <c r="C49" s="373"/>
      <c r="D49" s="523"/>
      <c r="E49" s="523"/>
      <c r="F49" s="373"/>
      <c r="G49" s="389"/>
      <c r="H49" s="374"/>
      <c r="I49" s="374"/>
      <c r="J49" s="374"/>
      <c r="K49" s="374"/>
      <c r="L49" s="374"/>
      <c r="M49" s="374"/>
      <c r="N49" s="374"/>
      <c r="O49" s="374"/>
    </row>
    <row r="50" spans="1:15" ht="15" customHeight="1" x14ac:dyDescent="0.25">
      <c r="A50" s="525"/>
      <c r="C50" s="373"/>
      <c r="D50" s="523"/>
      <c r="E50" s="523"/>
      <c r="F50" s="373"/>
      <c r="G50" s="389"/>
      <c r="H50" s="374"/>
      <c r="I50" s="374"/>
      <c r="J50" s="374"/>
      <c r="K50" s="374"/>
      <c r="L50" s="374"/>
      <c r="M50" s="374"/>
      <c r="N50" s="374"/>
      <c r="O50" s="374"/>
    </row>
    <row r="51" spans="1:15" ht="15" customHeight="1" x14ac:dyDescent="0.25">
      <c r="A51" s="376"/>
      <c r="B51" s="360"/>
      <c r="D51" s="380"/>
      <c r="E51" s="380"/>
      <c r="F51" s="374"/>
      <c r="G51" s="374"/>
      <c r="H51" s="374"/>
      <c r="I51" s="374"/>
      <c r="J51" s="374"/>
      <c r="K51" s="374"/>
      <c r="L51" s="374"/>
      <c r="M51" s="374"/>
      <c r="N51" s="374"/>
      <c r="O51" s="374"/>
    </row>
    <row r="52" spans="1:15" ht="15" customHeight="1" x14ac:dyDescent="0.25">
      <c r="A52" s="376"/>
      <c r="B52" s="360"/>
      <c r="D52" s="380"/>
      <c r="E52" s="380"/>
      <c r="F52" s="374"/>
      <c r="G52" s="374"/>
      <c r="H52" s="374"/>
      <c r="I52" s="374"/>
      <c r="J52" s="374"/>
      <c r="K52" s="374"/>
      <c r="L52" s="374"/>
      <c r="M52" s="374"/>
      <c r="N52" s="374"/>
      <c r="O52" s="374"/>
    </row>
    <row r="53" spans="1:15" ht="15" customHeight="1" x14ac:dyDescent="0.25">
      <c r="B53" s="360"/>
      <c r="D53" s="380"/>
      <c r="E53" s="380"/>
      <c r="F53" s="374"/>
      <c r="G53" s="374"/>
      <c r="H53" s="374"/>
      <c r="I53" s="374"/>
      <c r="J53" s="374"/>
      <c r="K53" s="374"/>
      <c r="L53" s="374"/>
      <c r="M53" s="374"/>
      <c r="N53" s="374"/>
      <c r="O53" s="374"/>
    </row>
    <row r="54" spans="1:15" ht="15" customHeight="1" x14ac:dyDescent="0.25">
      <c r="B54" s="360"/>
      <c r="D54" s="380"/>
      <c r="E54" s="380"/>
      <c r="F54" s="374"/>
      <c r="G54" s="374"/>
      <c r="H54" s="374"/>
      <c r="I54" s="374"/>
      <c r="J54" s="374"/>
      <c r="K54" s="374"/>
      <c r="L54" s="374"/>
      <c r="M54" s="374"/>
      <c r="N54" s="374"/>
      <c r="O54" s="374"/>
    </row>
    <row r="55" spans="1:15" ht="15" customHeight="1" x14ac:dyDescent="0.25">
      <c r="A55" s="376"/>
      <c r="B55" s="360"/>
      <c r="D55" s="380"/>
      <c r="E55" s="380"/>
      <c r="F55" s="374"/>
      <c r="G55" s="374"/>
      <c r="H55" s="374"/>
      <c r="I55" s="374"/>
      <c r="J55" s="374"/>
      <c r="K55" s="374"/>
      <c r="L55" s="374"/>
      <c r="M55" s="374"/>
      <c r="N55" s="374"/>
      <c r="O55" s="374"/>
    </row>
    <row r="56" spans="1:15" ht="15" customHeight="1" x14ac:dyDescent="0.25">
      <c r="A56" s="376"/>
      <c r="B56" s="360"/>
      <c r="D56" s="380"/>
      <c r="E56" s="380"/>
      <c r="F56" s="374"/>
      <c r="G56" s="374"/>
      <c r="H56" s="374"/>
      <c r="I56" s="374"/>
      <c r="J56" s="374"/>
      <c r="K56" s="374"/>
      <c r="L56" s="374"/>
      <c r="M56" s="374"/>
      <c r="N56" s="374"/>
      <c r="O56" s="374"/>
    </row>
    <row r="57" spans="1:15" ht="15" customHeight="1" x14ac:dyDescent="0.25">
      <c r="A57" s="376"/>
      <c r="B57" s="360"/>
      <c r="D57" s="380"/>
      <c r="E57" s="380"/>
      <c r="F57" s="374"/>
      <c r="G57" s="374"/>
      <c r="H57" s="374"/>
      <c r="I57" s="374"/>
      <c r="J57" s="374"/>
      <c r="K57" s="374"/>
      <c r="L57" s="374"/>
      <c r="M57" s="374"/>
      <c r="N57" s="374"/>
      <c r="O57" s="374"/>
    </row>
    <row r="58" spans="1:15" ht="15" customHeight="1" x14ac:dyDescent="0.25">
      <c r="A58" s="376"/>
      <c r="B58" s="360"/>
      <c r="D58" s="380"/>
      <c r="E58" s="380"/>
      <c r="F58" s="374"/>
      <c r="G58" s="374"/>
      <c r="H58" s="374"/>
      <c r="I58" s="374"/>
      <c r="J58" s="374"/>
      <c r="K58" s="374"/>
      <c r="L58" s="374"/>
      <c r="M58" s="374"/>
      <c r="N58" s="374"/>
      <c r="O58" s="374"/>
    </row>
    <row r="59" spans="1:15" ht="15" customHeight="1" x14ac:dyDescent="0.25">
      <c r="A59" s="376"/>
      <c r="B59" s="360"/>
      <c r="D59" s="380"/>
      <c r="E59" s="380"/>
      <c r="F59" s="374"/>
      <c r="G59" s="374"/>
      <c r="H59" s="374"/>
      <c r="I59" s="374"/>
      <c r="J59" s="374"/>
      <c r="K59" s="374"/>
      <c r="L59" s="374"/>
      <c r="M59" s="374"/>
      <c r="N59" s="374"/>
      <c r="O59" s="374"/>
    </row>
    <row r="60" spans="1:15" ht="15" customHeight="1" x14ac:dyDescent="0.25">
      <c r="A60" s="376"/>
      <c r="B60" s="360"/>
      <c r="D60" s="380"/>
      <c r="E60" s="380"/>
      <c r="F60" s="374"/>
      <c r="G60" s="374"/>
      <c r="H60" s="374"/>
      <c r="I60" s="374"/>
      <c r="J60" s="374"/>
      <c r="K60" s="374"/>
      <c r="L60" s="374"/>
      <c r="M60" s="374"/>
      <c r="N60" s="374"/>
      <c r="O60" s="374"/>
    </row>
    <row r="61" spans="1:15" ht="15" customHeight="1" x14ac:dyDescent="0.25">
      <c r="A61" s="376"/>
      <c r="D61" s="380"/>
      <c r="E61" s="380"/>
      <c r="F61" s="374"/>
      <c r="G61" s="374"/>
      <c r="H61" s="374"/>
      <c r="I61" s="374"/>
      <c r="J61" s="374"/>
      <c r="K61" s="374"/>
      <c r="L61" s="374"/>
      <c r="M61" s="374"/>
      <c r="N61" s="374"/>
      <c r="O61" s="374"/>
    </row>
    <row r="62" spans="1:15" ht="15" customHeight="1" x14ac:dyDescent="0.25">
      <c r="A62" s="376"/>
      <c r="D62" s="380"/>
      <c r="E62" s="380"/>
      <c r="F62" s="374"/>
      <c r="G62" s="374"/>
      <c r="H62" s="374"/>
      <c r="I62" s="374"/>
      <c r="J62" s="374"/>
      <c r="K62" s="374"/>
      <c r="L62" s="374"/>
      <c r="M62" s="374"/>
      <c r="N62" s="374"/>
      <c r="O62" s="374"/>
    </row>
    <row r="63" spans="1:15" ht="15" customHeight="1" x14ac:dyDescent="0.25">
      <c r="A63" s="376"/>
      <c r="B63" s="360"/>
      <c r="D63" s="380"/>
      <c r="E63" s="380"/>
      <c r="F63" s="374"/>
      <c r="G63" s="374"/>
      <c r="H63" s="374"/>
      <c r="I63" s="374"/>
      <c r="J63" s="374"/>
      <c r="K63" s="374"/>
      <c r="L63" s="374"/>
      <c r="M63" s="374"/>
      <c r="N63" s="374"/>
      <c r="O63" s="374"/>
    </row>
    <row r="64" spans="1:15" ht="15" customHeight="1" x14ac:dyDescent="0.25">
      <c r="A64" s="376"/>
      <c r="D64" s="380"/>
      <c r="E64" s="380"/>
      <c r="F64" s="374"/>
      <c r="G64" s="374"/>
      <c r="H64" s="374"/>
      <c r="I64" s="374"/>
      <c r="J64" s="374"/>
      <c r="K64" s="374"/>
      <c r="L64" s="374"/>
      <c r="M64" s="374"/>
      <c r="N64" s="374"/>
      <c r="O64" s="374"/>
    </row>
    <row r="65" spans="1:15" ht="15" customHeight="1" x14ac:dyDescent="0.25">
      <c r="A65" s="376"/>
      <c r="D65" s="380"/>
      <c r="E65" s="380"/>
      <c r="F65" s="374"/>
      <c r="G65" s="374"/>
      <c r="H65" s="374"/>
      <c r="I65" s="374"/>
      <c r="J65" s="374"/>
      <c r="K65" s="374"/>
      <c r="L65" s="374"/>
      <c r="M65" s="374"/>
      <c r="N65" s="374"/>
      <c r="O65" s="374"/>
    </row>
    <row r="66" spans="1:15" ht="15" customHeight="1" x14ac:dyDescent="0.25">
      <c r="A66" s="376"/>
      <c r="D66" s="380"/>
      <c r="E66" s="380"/>
      <c r="F66" s="374"/>
      <c r="G66" s="374"/>
      <c r="H66" s="374"/>
      <c r="I66" s="374"/>
      <c r="J66" s="374"/>
      <c r="K66" s="374"/>
      <c r="L66" s="374"/>
      <c r="M66" s="374"/>
      <c r="N66" s="374"/>
      <c r="O66" s="374"/>
    </row>
    <row r="67" spans="1:15" ht="15" customHeight="1" x14ac:dyDescent="0.25">
      <c r="A67" s="376"/>
      <c r="D67" s="380"/>
      <c r="E67" s="380"/>
      <c r="F67" s="374"/>
      <c r="G67" s="374"/>
      <c r="H67" s="374"/>
      <c r="I67" s="374"/>
      <c r="J67" s="374"/>
      <c r="K67" s="374"/>
      <c r="L67" s="374"/>
      <c r="M67" s="374"/>
      <c r="N67" s="374"/>
      <c r="O67" s="374"/>
    </row>
    <row r="68" spans="1:15" ht="15" customHeight="1" x14ac:dyDescent="0.25">
      <c r="A68" s="376"/>
      <c r="D68" s="380"/>
      <c r="E68" s="380"/>
      <c r="F68" s="374"/>
      <c r="G68" s="374"/>
      <c r="H68" s="374"/>
      <c r="I68" s="374"/>
      <c r="J68" s="374"/>
      <c r="K68" s="374"/>
      <c r="L68" s="374"/>
      <c r="M68" s="374"/>
      <c r="N68" s="374"/>
      <c r="O68" s="374"/>
    </row>
    <row r="69" spans="1:15" ht="15" customHeight="1" x14ac:dyDescent="0.25">
      <c r="A69" s="376"/>
      <c r="D69" s="380"/>
      <c r="E69" s="380"/>
      <c r="F69" s="374"/>
      <c r="G69" s="374"/>
      <c r="H69" s="374"/>
      <c r="I69" s="374"/>
      <c r="J69" s="374"/>
      <c r="K69" s="374"/>
      <c r="L69" s="374"/>
      <c r="M69" s="374"/>
      <c r="N69" s="374"/>
      <c r="O69" s="374"/>
    </row>
    <row r="70" spans="1:15" ht="15" customHeight="1" x14ac:dyDescent="0.25">
      <c r="A70" s="376"/>
      <c r="D70" s="380"/>
      <c r="E70" s="380"/>
      <c r="F70" s="374"/>
      <c r="G70" s="374"/>
      <c r="H70" s="374"/>
      <c r="I70" s="374"/>
      <c r="J70" s="374"/>
      <c r="K70" s="374"/>
      <c r="L70" s="374"/>
      <c r="M70" s="374"/>
      <c r="N70" s="374"/>
      <c r="O70" s="374"/>
    </row>
    <row r="71" spans="1:15" ht="15" customHeight="1" x14ac:dyDescent="0.25">
      <c r="B71" s="360"/>
      <c r="D71" s="380"/>
      <c r="E71" s="380"/>
      <c r="F71" s="374"/>
      <c r="G71" s="374"/>
      <c r="H71" s="374"/>
      <c r="I71" s="374"/>
      <c r="J71" s="374"/>
      <c r="K71" s="374"/>
      <c r="L71" s="374"/>
      <c r="M71" s="374"/>
      <c r="N71" s="374"/>
      <c r="O71" s="374"/>
    </row>
    <row r="72" spans="1:15" ht="15" customHeight="1" x14ac:dyDescent="0.25">
      <c r="B72" s="360"/>
      <c r="D72" s="380"/>
      <c r="E72" s="380"/>
      <c r="F72" s="374"/>
      <c r="G72" s="374"/>
      <c r="H72" s="374"/>
      <c r="I72" s="374"/>
      <c r="J72" s="374"/>
      <c r="K72" s="374"/>
      <c r="L72" s="374"/>
      <c r="M72" s="374"/>
      <c r="N72" s="374"/>
      <c r="O72" s="374"/>
    </row>
    <row r="73" spans="1:15" ht="15" customHeight="1" x14ac:dyDescent="0.25">
      <c r="B73" s="360"/>
      <c r="D73" s="380"/>
      <c r="E73" s="380"/>
      <c r="F73" s="374"/>
      <c r="G73" s="374"/>
      <c r="H73" s="374"/>
      <c r="I73" s="374"/>
      <c r="J73" s="374"/>
      <c r="K73" s="374"/>
      <c r="L73" s="374"/>
      <c r="M73" s="374"/>
      <c r="N73" s="374"/>
      <c r="O73" s="374"/>
    </row>
    <row r="74" spans="1:15" ht="15" customHeight="1" x14ac:dyDescent="0.25">
      <c r="A74" s="376"/>
      <c r="B74" s="360"/>
      <c r="D74" s="380"/>
      <c r="E74" s="380"/>
      <c r="F74" s="374"/>
      <c r="G74" s="374"/>
      <c r="H74" s="374"/>
      <c r="I74" s="374"/>
      <c r="J74" s="374"/>
      <c r="K74" s="374"/>
      <c r="L74" s="374"/>
      <c r="M74" s="374"/>
      <c r="N74" s="374"/>
      <c r="O74" s="374"/>
    </row>
    <row r="75" spans="1:15" ht="15" customHeight="1" x14ac:dyDescent="0.25">
      <c r="A75" s="376"/>
      <c r="B75" s="360"/>
      <c r="D75" s="380"/>
      <c r="E75" s="380"/>
      <c r="F75" s="374"/>
      <c r="G75" s="374"/>
      <c r="H75" s="374"/>
      <c r="I75" s="374"/>
      <c r="J75" s="374"/>
      <c r="K75" s="374"/>
      <c r="L75" s="374"/>
      <c r="M75" s="374"/>
      <c r="N75" s="374"/>
      <c r="O75" s="374"/>
    </row>
    <row r="76" spans="1:15" ht="15" customHeight="1" x14ac:dyDescent="0.25">
      <c r="A76" s="376"/>
      <c r="B76" s="360"/>
      <c r="D76" s="380"/>
      <c r="E76" s="380"/>
      <c r="F76" s="374"/>
      <c r="G76" s="374"/>
      <c r="H76" s="374"/>
      <c r="I76" s="374"/>
      <c r="J76" s="374"/>
      <c r="K76" s="374"/>
      <c r="L76" s="374"/>
      <c r="M76" s="374"/>
      <c r="N76" s="374"/>
      <c r="O76" s="374"/>
    </row>
    <row r="77" spans="1:15" ht="15" customHeight="1" x14ac:dyDescent="0.25">
      <c r="A77" s="376"/>
      <c r="B77" s="360"/>
      <c r="D77" s="380"/>
      <c r="E77" s="380"/>
      <c r="F77" s="374"/>
      <c r="G77" s="374"/>
      <c r="H77" s="374"/>
      <c r="I77" s="374"/>
      <c r="J77" s="374"/>
      <c r="K77" s="374"/>
      <c r="L77" s="374"/>
      <c r="M77" s="374"/>
      <c r="N77" s="374"/>
      <c r="O77" s="374"/>
    </row>
    <row r="78" spans="1:15" ht="15" customHeight="1" x14ac:dyDescent="0.25">
      <c r="A78" s="376"/>
      <c r="B78" s="360"/>
      <c r="D78" s="380"/>
      <c r="E78" s="380"/>
      <c r="F78" s="374"/>
      <c r="G78" s="374"/>
      <c r="H78" s="374"/>
      <c r="I78" s="374"/>
      <c r="J78" s="374"/>
      <c r="K78" s="374"/>
      <c r="L78" s="374"/>
      <c r="M78" s="374"/>
      <c r="N78" s="374"/>
      <c r="O78" s="374"/>
    </row>
    <row r="79" spans="1:15" ht="15" customHeight="1" x14ac:dyDescent="0.25">
      <c r="A79" s="376"/>
      <c r="B79" s="360"/>
      <c r="D79" s="380"/>
      <c r="E79" s="380"/>
      <c r="F79" s="374"/>
      <c r="G79" s="374"/>
      <c r="H79" s="374"/>
      <c r="I79" s="374"/>
      <c r="J79" s="374"/>
      <c r="K79" s="374"/>
      <c r="L79" s="374"/>
      <c r="M79" s="374"/>
      <c r="N79" s="374"/>
      <c r="O79" s="374"/>
    </row>
    <row r="80" spans="1:15" ht="15" customHeight="1" x14ac:dyDescent="0.25">
      <c r="A80" s="376"/>
      <c r="B80" s="360"/>
      <c r="D80" s="380"/>
      <c r="E80" s="380"/>
      <c r="F80" s="374"/>
      <c r="G80" s="374"/>
      <c r="H80" s="374"/>
      <c r="I80" s="374"/>
      <c r="J80" s="374"/>
      <c r="K80" s="374"/>
      <c r="L80" s="374"/>
      <c r="M80" s="374"/>
      <c r="N80" s="374"/>
      <c r="O80" s="374"/>
    </row>
    <row r="81" spans="1:16" ht="15" customHeight="1" x14ac:dyDescent="0.25">
      <c r="A81" s="376"/>
      <c r="B81" s="360"/>
      <c r="D81" s="380"/>
      <c r="E81" s="380"/>
      <c r="F81" s="374"/>
      <c r="G81" s="374"/>
      <c r="H81" s="374"/>
      <c r="I81" s="374"/>
      <c r="J81" s="374"/>
      <c r="K81" s="374"/>
      <c r="L81" s="374"/>
      <c r="M81" s="374"/>
      <c r="N81" s="374"/>
      <c r="O81" s="374"/>
    </row>
    <row r="82" spans="1:16" ht="15" customHeight="1" x14ac:dyDescent="0.25">
      <c r="B82" s="360"/>
      <c r="D82" s="380"/>
      <c r="E82" s="380"/>
      <c r="F82" s="374"/>
      <c r="G82" s="374"/>
      <c r="H82" s="374"/>
      <c r="I82" s="374"/>
      <c r="J82" s="374"/>
      <c r="K82" s="374"/>
      <c r="L82" s="374"/>
      <c r="M82" s="374"/>
      <c r="N82" s="374"/>
      <c r="O82" s="374"/>
    </row>
    <row r="83" spans="1:16" ht="15" customHeight="1" x14ac:dyDescent="0.25">
      <c r="C83" s="381"/>
      <c r="D83" s="382"/>
      <c r="H83" s="374"/>
      <c r="I83" s="374"/>
      <c r="J83" s="374"/>
      <c r="K83" s="374"/>
      <c r="L83" s="374"/>
      <c r="M83" s="374"/>
      <c r="N83" s="374"/>
      <c r="O83" s="374"/>
    </row>
    <row r="84" spans="1:16" ht="15" customHeight="1" x14ac:dyDescent="0.25">
      <c r="A84" s="376"/>
      <c r="C84" s="381"/>
      <c r="D84" s="382"/>
    </row>
    <row r="85" spans="1:16" s="375" customFormat="1" ht="15" customHeight="1" x14ac:dyDescent="0.25">
      <c r="A85" s="376"/>
      <c r="B85" s="373"/>
      <c r="C85" s="381"/>
      <c r="D85" s="382"/>
      <c r="F85" s="360"/>
      <c r="G85" s="360"/>
      <c r="H85" s="360"/>
      <c r="I85" s="360"/>
      <c r="J85" s="360"/>
      <c r="K85" s="360"/>
      <c r="L85" s="360"/>
      <c r="M85" s="360"/>
      <c r="N85" s="360"/>
      <c r="O85" s="360"/>
      <c r="P85" s="360"/>
    </row>
    <row r="86" spans="1:16" s="375" customFormat="1" ht="15" customHeight="1" x14ac:dyDescent="0.25">
      <c r="A86" s="376"/>
      <c r="B86" s="373"/>
      <c r="C86" s="381"/>
      <c r="D86" s="382"/>
      <c r="F86" s="360"/>
      <c r="G86" s="360"/>
      <c r="H86" s="360"/>
      <c r="I86" s="360"/>
      <c r="J86" s="360"/>
      <c r="K86" s="360"/>
      <c r="L86" s="360"/>
      <c r="M86" s="360"/>
      <c r="N86" s="360"/>
      <c r="O86" s="360"/>
      <c r="P86" s="360"/>
    </row>
    <row r="87" spans="1:16" s="375" customFormat="1" ht="15" customHeight="1" x14ac:dyDescent="0.25">
      <c r="A87" s="376"/>
      <c r="B87" s="360"/>
      <c r="C87" s="381"/>
      <c r="D87" s="382"/>
      <c r="F87" s="360"/>
      <c r="G87" s="360"/>
      <c r="H87" s="360"/>
      <c r="I87" s="360"/>
      <c r="J87" s="360"/>
      <c r="K87" s="360"/>
      <c r="L87" s="360"/>
      <c r="M87" s="360"/>
      <c r="N87" s="360"/>
      <c r="O87" s="360"/>
      <c r="P87" s="360"/>
    </row>
    <row r="88" spans="1:16" s="375" customFormat="1" ht="15" customHeight="1" x14ac:dyDescent="0.25">
      <c r="A88" s="376"/>
      <c r="B88" s="360"/>
      <c r="C88" s="381"/>
      <c r="D88" s="382"/>
      <c r="F88" s="360"/>
      <c r="G88" s="360"/>
      <c r="H88" s="360"/>
      <c r="I88" s="360"/>
      <c r="J88" s="360"/>
      <c r="K88" s="360"/>
      <c r="L88" s="360"/>
      <c r="M88" s="360"/>
      <c r="N88" s="360"/>
      <c r="O88" s="360"/>
      <c r="P88" s="360"/>
    </row>
    <row r="89" spans="1:16" s="375" customFormat="1" ht="15" customHeight="1" x14ac:dyDescent="0.25">
      <c r="A89" s="376"/>
      <c r="B89" s="360"/>
      <c r="C89" s="381"/>
      <c r="D89" s="382"/>
      <c r="F89" s="360"/>
      <c r="G89" s="360"/>
      <c r="H89" s="360"/>
      <c r="I89" s="360"/>
      <c r="J89" s="360"/>
      <c r="K89" s="360"/>
      <c r="L89" s="360"/>
      <c r="M89" s="360"/>
      <c r="N89" s="360"/>
      <c r="O89" s="360"/>
      <c r="P89" s="360"/>
    </row>
    <row r="90" spans="1:16" s="375" customFormat="1" ht="15" customHeight="1" x14ac:dyDescent="0.25">
      <c r="A90" s="376"/>
      <c r="B90" s="373"/>
      <c r="C90" s="374"/>
      <c r="D90" s="382"/>
      <c r="F90" s="360"/>
      <c r="G90" s="360"/>
      <c r="H90" s="360"/>
      <c r="I90" s="360"/>
      <c r="J90" s="360"/>
      <c r="K90" s="360"/>
      <c r="L90" s="360"/>
      <c r="M90" s="360"/>
      <c r="N90" s="360"/>
      <c r="O90" s="360"/>
      <c r="P90" s="360"/>
    </row>
    <row r="91" spans="1:16" s="375" customFormat="1" ht="15" customHeight="1" x14ac:dyDescent="0.25">
      <c r="A91" s="376"/>
      <c r="B91" s="373"/>
      <c r="C91" s="374"/>
      <c r="D91" s="382"/>
      <c r="F91" s="360"/>
      <c r="G91" s="360"/>
      <c r="H91" s="360"/>
      <c r="I91" s="360"/>
      <c r="J91" s="360"/>
      <c r="K91" s="360"/>
      <c r="L91" s="360"/>
      <c r="M91" s="360"/>
      <c r="N91" s="360"/>
      <c r="O91" s="360"/>
      <c r="P91" s="360"/>
    </row>
    <row r="92" spans="1:16" s="375" customFormat="1" ht="15" customHeight="1" x14ac:dyDescent="0.25">
      <c r="A92" s="376"/>
      <c r="B92" s="373"/>
      <c r="C92" s="381"/>
      <c r="D92" s="382"/>
      <c r="F92" s="360"/>
      <c r="G92" s="360"/>
      <c r="H92" s="360"/>
      <c r="I92" s="360"/>
      <c r="J92" s="360"/>
      <c r="K92" s="360"/>
      <c r="L92" s="360"/>
      <c r="M92" s="360"/>
      <c r="N92" s="360"/>
      <c r="O92" s="360"/>
      <c r="P92" s="360"/>
    </row>
    <row r="93" spans="1:16" s="375" customFormat="1" ht="15" customHeight="1" x14ac:dyDescent="0.25">
      <c r="A93" s="376"/>
      <c r="B93" s="360"/>
      <c r="C93" s="381"/>
      <c r="D93" s="382"/>
      <c r="F93" s="360"/>
      <c r="G93" s="360"/>
      <c r="H93" s="360"/>
      <c r="I93" s="360"/>
      <c r="J93" s="360"/>
      <c r="K93" s="360"/>
      <c r="L93" s="360"/>
      <c r="M93" s="360"/>
      <c r="N93" s="360"/>
      <c r="O93" s="360"/>
      <c r="P93" s="360"/>
    </row>
    <row r="94" spans="1:16" s="375" customFormat="1" ht="15" customHeight="1" x14ac:dyDescent="0.25">
      <c r="A94" s="376"/>
      <c r="B94" s="373"/>
      <c r="C94" s="381"/>
      <c r="D94" s="382"/>
      <c r="F94" s="360"/>
      <c r="G94" s="360"/>
      <c r="H94" s="360"/>
      <c r="I94" s="360"/>
      <c r="J94" s="360"/>
      <c r="K94" s="360"/>
      <c r="L94" s="360"/>
      <c r="M94" s="360"/>
      <c r="N94" s="360"/>
      <c r="O94" s="360"/>
      <c r="P94" s="360"/>
    </row>
    <row r="95" spans="1:16" s="375" customFormat="1" ht="15" customHeight="1" x14ac:dyDescent="0.25">
      <c r="A95" s="376"/>
      <c r="B95" s="360"/>
      <c r="C95" s="381"/>
      <c r="D95" s="382"/>
      <c r="F95" s="360"/>
      <c r="G95" s="360"/>
      <c r="H95" s="360"/>
      <c r="I95" s="360"/>
      <c r="J95" s="360"/>
      <c r="K95" s="360"/>
      <c r="L95" s="360"/>
      <c r="M95" s="360"/>
      <c r="N95" s="360"/>
      <c r="O95" s="360"/>
      <c r="P95" s="360"/>
    </row>
    <row r="96" spans="1:16" s="375" customFormat="1" ht="15" customHeight="1" x14ac:dyDescent="0.25">
      <c r="A96" s="376"/>
      <c r="B96" s="373"/>
      <c r="C96" s="381"/>
      <c r="D96" s="382"/>
      <c r="F96" s="360"/>
      <c r="G96" s="360"/>
      <c r="H96" s="360"/>
      <c r="I96" s="360"/>
      <c r="J96" s="360"/>
      <c r="K96" s="360"/>
      <c r="L96" s="360"/>
      <c r="M96" s="360"/>
      <c r="N96" s="360"/>
      <c r="O96" s="360"/>
      <c r="P96" s="360"/>
    </row>
    <row r="97" spans="1:16" s="375" customFormat="1" ht="15" customHeight="1" x14ac:dyDescent="0.25">
      <c r="A97" s="376"/>
      <c r="B97" s="373"/>
      <c r="C97" s="381"/>
      <c r="D97" s="382"/>
      <c r="F97" s="360"/>
      <c r="G97" s="360"/>
      <c r="H97" s="360"/>
      <c r="I97" s="360"/>
      <c r="J97" s="360"/>
      <c r="K97" s="360"/>
      <c r="L97" s="360"/>
      <c r="M97" s="360"/>
      <c r="N97" s="360"/>
      <c r="O97" s="360"/>
      <c r="P97" s="360"/>
    </row>
    <row r="98" spans="1:16" s="375" customFormat="1" ht="15" customHeight="1" x14ac:dyDescent="0.25">
      <c r="A98" s="360"/>
      <c r="B98" s="373"/>
      <c r="C98" s="381"/>
      <c r="D98" s="382"/>
      <c r="F98" s="360"/>
      <c r="G98" s="360"/>
      <c r="H98" s="360"/>
      <c r="I98" s="360"/>
      <c r="J98" s="360"/>
      <c r="K98" s="360"/>
      <c r="L98" s="360"/>
      <c r="M98" s="360"/>
      <c r="N98" s="360"/>
      <c r="O98" s="360"/>
      <c r="P98" s="360"/>
    </row>
    <row r="99" spans="1:16" s="375" customFormat="1" ht="15" customHeight="1" x14ac:dyDescent="0.25">
      <c r="A99" s="360"/>
      <c r="B99" s="373"/>
      <c r="C99" s="381"/>
      <c r="D99" s="382"/>
      <c r="F99" s="360"/>
      <c r="G99" s="360"/>
      <c r="H99" s="360"/>
      <c r="I99" s="360"/>
      <c r="J99" s="360"/>
      <c r="K99" s="360"/>
      <c r="L99" s="360"/>
      <c r="M99" s="360"/>
      <c r="N99" s="360"/>
      <c r="O99" s="360"/>
      <c r="P99" s="360"/>
    </row>
    <row r="100" spans="1:16" s="375" customFormat="1" ht="15" customHeight="1" x14ac:dyDescent="0.25">
      <c r="A100" s="360"/>
      <c r="B100" s="373"/>
      <c r="C100" s="381"/>
      <c r="D100" s="382"/>
      <c r="F100" s="360"/>
      <c r="G100" s="360"/>
      <c r="H100" s="360"/>
      <c r="I100" s="360"/>
      <c r="J100" s="360"/>
      <c r="K100" s="360"/>
      <c r="L100" s="360"/>
      <c r="M100" s="360"/>
      <c r="N100" s="360"/>
      <c r="O100" s="360"/>
      <c r="P100" s="360"/>
    </row>
    <row r="101" spans="1:16" ht="15" customHeight="1" x14ac:dyDescent="0.25">
      <c r="C101" s="381"/>
      <c r="D101" s="382"/>
    </row>
    <row r="102" spans="1:16" ht="15" customHeight="1" x14ac:dyDescent="0.25">
      <c r="C102" s="381"/>
      <c r="D102" s="382"/>
    </row>
    <row r="103" spans="1:16" ht="15" customHeight="1" x14ac:dyDescent="0.25">
      <c r="C103" s="381"/>
      <c r="D103" s="382"/>
    </row>
    <row r="104" spans="1:16" ht="15" customHeight="1" x14ac:dyDescent="0.25">
      <c r="C104" s="381"/>
      <c r="D104" s="382"/>
    </row>
    <row r="105" spans="1:16" ht="15" customHeight="1" x14ac:dyDescent="0.25">
      <c r="C105" s="381"/>
      <c r="D105" s="382"/>
    </row>
    <row r="106" spans="1:16" ht="15" customHeight="1" x14ac:dyDescent="0.25">
      <c r="C106" s="381"/>
      <c r="D106" s="382"/>
    </row>
    <row r="107" spans="1:16" ht="15" customHeight="1" x14ac:dyDescent="0.25">
      <c r="C107" s="381"/>
      <c r="D107" s="382"/>
    </row>
    <row r="108" spans="1:16" ht="15" customHeight="1" x14ac:dyDescent="0.25">
      <c r="B108" s="360"/>
      <c r="C108" s="381"/>
      <c r="D108" s="382"/>
    </row>
    <row r="109" spans="1:16" ht="15" customHeight="1" x14ac:dyDescent="0.25">
      <c r="A109" s="383"/>
      <c r="B109" s="360"/>
      <c r="C109" s="384"/>
      <c r="D109" s="380"/>
      <c r="F109" s="385"/>
      <c r="G109" s="385"/>
    </row>
    <row r="110" spans="1:16" ht="15" customHeight="1" x14ac:dyDescent="0.25">
      <c r="A110" s="383"/>
      <c r="B110" s="386"/>
      <c r="C110" s="384"/>
      <c r="D110" s="380"/>
      <c r="E110" s="380"/>
      <c r="F110" s="387"/>
      <c r="G110" s="387"/>
      <c r="H110" s="385"/>
      <c r="I110" s="385"/>
      <c r="J110" s="385"/>
      <c r="K110" s="385"/>
      <c r="L110" s="385"/>
      <c r="M110" s="385"/>
      <c r="N110" s="385"/>
      <c r="O110" s="385"/>
    </row>
    <row r="111" spans="1:16" ht="15" customHeight="1" x14ac:dyDescent="0.25">
      <c r="A111" s="383"/>
      <c r="B111" s="386"/>
      <c r="C111" s="384"/>
      <c r="F111" s="385"/>
      <c r="G111" s="385"/>
      <c r="H111" s="387"/>
      <c r="I111" s="387"/>
      <c r="J111" s="387"/>
      <c r="K111" s="387"/>
      <c r="L111" s="387"/>
      <c r="M111" s="387"/>
      <c r="N111" s="387"/>
      <c r="O111" s="387"/>
    </row>
    <row r="112" spans="1:16" ht="15" customHeight="1" x14ac:dyDescent="0.25">
      <c r="A112" s="383"/>
      <c r="B112" s="386"/>
      <c r="C112" s="384"/>
      <c r="F112" s="385"/>
      <c r="G112" s="385"/>
      <c r="H112" s="385"/>
      <c r="I112" s="385"/>
      <c r="J112" s="385"/>
      <c r="K112" s="385"/>
      <c r="L112" s="385"/>
      <c r="M112" s="385"/>
      <c r="N112" s="385"/>
      <c r="O112" s="385"/>
    </row>
    <row r="113" spans="1:15" ht="15" customHeight="1" x14ac:dyDescent="0.25">
      <c r="A113" s="383"/>
      <c r="C113" s="384"/>
      <c r="F113" s="385"/>
      <c r="G113" s="385"/>
      <c r="H113" s="385"/>
      <c r="I113" s="385"/>
      <c r="J113" s="385"/>
      <c r="K113" s="385"/>
      <c r="L113" s="385"/>
      <c r="M113" s="385"/>
      <c r="N113" s="385"/>
      <c r="O113" s="385"/>
    </row>
    <row r="114" spans="1:15" ht="15" customHeight="1" x14ac:dyDescent="0.25">
      <c r="A114" s="383"/>
      <c r="C114" s="384"/>
      <c r="F114" s="385"/>
      <c r="G114" s="385"/>
      <c r="H114" s="385"/>
      <c r="I114" s="385"/>
      <c r="J114" s="385"/>
      <c r="K114" s="385"/>
      <c r="L114" s="385"/>
      <c r="M114" s="385"/>
      <c r="N114" s="385"/>
      <c r="O114" s="385"/>
    </row>
    <row r="115" spans="1:15" ht="15" customHeight="1" x14ac:dyDescent="0.25">
      <c r="A115" s="383"/>
      <c r="B115" s="388"/>
      <c r="C115" s="384"/>
      <c r="F115" s="385"/>
      <c r="G115" s="385"/>
      <c r="H115" s="385"/>
      <c r="I115" s="385"/>
      <c r="J115" s="385"/>
      <c r="K115" s="385"/>
      <c r="L115" s="385"/>
      <c r="M115" s="385"/>
      <c r="N115" s="385"/>
      <c r="O115" s="385"/>
    </row>
    <row r="116" spans="1:15" ht="15" customHeight="1" x14ac:dyDescent="0.25">
      <c r="A116" s="383"/>
      <c r="C116" s="384"/>
      <c r="F116" s="385"/>
      <c r="G116" s="385"/>
      <c r="H116" s="385"/>
      <c r="I116" s="385"/>
      <c r="J116" s="385"/>
      <c r="K116" s="385"/>
      <c r="L116" s="385"/>
      <c r="M116" s="385"/>
      <c r="N116" s="385"/>
      <c r="O116" s="385"/>
    </row>
    <row r="117" spans="1:15" ht="15" customHeight="1" x14ac:dyDescent="0.25">
      <c r="A117" s="383"/>
      <c r="B117" s="386"/>
      <c r="C117" s="384"/>
      <c r="F117" s="385"/>
      <c r="G117" s="385"/>
      <c r="H117" s="385"/>
      <c r="I117" s="385"/>
      <c r="J117" s="385"/>
      <c r="K117" s="385"/>
      <c r="L117" s="385"/>
      <c r="M117" s="385"/>
      <c r="N117" s="385"/>
      <c r="O117" s="385"/>
    </row>
    <row r="118" spans="1:15" ht="15" customHeight="1" x14ac:dyDescent="0.25">
      <c r="A118" s="383"/>
      <c r="B118" s="386"/>
      <c r="C118" s="384"/>
      <c r="F118" s="385"/>
      <c r="G118" s="385"/>
      <c r="H118" s="385"/>
      <c r="I118" s="385"/>
      <c r="J118" s="385"/>
      <c r="K118" s="385"/>
      <c r="L118" s="385"/>
      <c r="M118" s="385"/>
      <c r="N118" s="385"/>
      <c r="O118" s="385"/>
    </row>
    <row r="119" spans="1:15" ht="15" customHeight="1" x14ac:dyDescent="0.25">
      <c r="A119" s="383"/>
      <c r="B119" s="386"/>
      <c r="C119" s="384"/>
      <c r="F119" s="385"/>
      <c r="G119" s="385"/>
      <c r="H119" s="385"/>
      <c r="I119" s="385"/>
      <c r="J119" s="385"/>
      <c r="K119" s="385"/>
      <c r="L119" s="385"/>
      <c r="M119" s="385"/>
      <c r="N119" s="385"/>
      <c r="O119" s="385"/>
    </row>
    <row r="120" spans="1:15" ht="15" customHeight="1" x14ac:dyDescent="0.25">
      <c r="A120" s="383"/>
      <c r="B120" s="386"/>
      <c r="C120" s="384"/>
      <c r="F120" s="385"/>
      <c r="G120" s="385"/>
      <c r="H120" s="385"/>
      <c r="I120" s="385"/>
      <c r="J120" s="385"/>
      <c r="K120" s="385"/>
      <c r="L120" s="385"/>
      <c r="M120" s="385"/>
      <c r="N120" s="385"/>
      <c r="O120" s="385"/>
    </row>
    <row r="121" spans="1:15" ht="15" customHeight="1" x14ac:dyDescent="0.25">
      <c r="A121" s="383"/>
      <c r="B121" s="386"/>
      <c r="C121" s="384"/>
      <c r="F121" s="385"/>
      <c r="G121" s="385"/>
      <c r="H121" s="385"/>
      <c r="I121" s="385"/>
      <c r="J121" s="385"/>
      <c r="K121" s="385"/>
      <c r="L121" s="385"/>
      <c r="M121" s="385"/>
      <c r="N121" s="385"/>
      <c r="O121" s="385"/>
    </row>
    <row r="122" spans="1:15" ht="15" customHeight="1" x14ac:dyDescent="0.25">
      <c r="A122" s="383"/>
      <c r="B122" s="386"/>
      <c r="C122" s="384"/>
      <c r="F122" s="385"/>
      <c r="G122" s="385"/>
      <c r="H122" s="385"/>
      <c r="I122" s="385"/>
      <c r="J122" s="385"/>
      <c r="K122" s="385"/>
      <c r="L122" s="385"/>
      <c r="M122" s="385"/>
      <c r="N122" s="385"/>
      <c r="O122" s="385"/>
    </row>
    <row r="123" spans="1:15" ht="15" customHeight="1" x14ac:dyDescent="0.25">
      <c r="C123" s="384"/>
      <c r="F123" s="385"/>
      <c r="G123" s="385"/>
      <c r="H123" s="385"/>
      <c r="I123" s="385"/>
      <c r="J123" s="385"/>
      <c r="K123" s="385"/>
      <c r="L123" s="385"/>
      <c r="M123" s="385"/>
      <c r="N123" s="385"/>
      <c r="O123" s="385"/>
    </row>
    <row r="124" spans="1:15" ht="15" customHeight="1" x14ac:dyDescent="0.25">
      <c r="B124" s="386"/>
      <c r="C124" s="384"/>
      <c r="F124" s="385"/>
      <c r="G124" s="385"/>
      <c r="H124" s="385"/>
      <c r="I124" s="385"/>
      <c r="J124" s="385"/>
      <c r="K124" s="385"/>
      <c r="L124" s="385"/>
      <c r="M124" s="385"/>
      <c r="N124" s="385"/>
      <c r="O124" s="385"/>
    </row>
    <row r="125" spans="1:15" ht="15" customHeight="1" x14ac:dyDescent="0.25">
      <c r="B125" s="386"/>
      <c r="C125" s="384"/>
      <c r="F125" s="385"/>
      <c r="G125" s="385"/>
      <c r="H125" s="385"/>
      <c r="I125" s="385"/>
      <c r="J125" s="385"/>
      <c r="K125" s="385"/>
      <c r="L125" s="385"/>
      <c r="M125" s="385"/>
      <c r="N125" s="385"/>
      <c r="O125" s="385"/>
    </row>
    <row r="126" spans="1:15" ht="15" customHeight="1" x14ac:dyDescent="0.25">
      <c r="B126" s="386"/>
      <c r="C126" s="384"/>
      <c r="F126" s="385"/>
      <c r="G126" s="385"/>
      <c r="H126" s="385"/>
      <c r="I126" s="385"/>
      <c r="J126" s="385"/>
      <c r="K126" s="385"/>
      <c r="L126" s="385"/>
      <c r="M126" s="385"/>
      <c r="N126" s="385"/>
      <c r="O126" s="385"/>
    </row>
    <row r="127" spans="1:15" ht="15" customHeight="1" x14ac:dyDescent="0.25">
      <c r="B127" s="388"/>
      <c r="C127" s="384"/>
      <c r="F127" s="385"/>
      <c r="G127" s="385"/>
      <c r="H127" s="385"/>
      <c r="I127" s="385"/>
      <c r="J127" s="385"/>
      <c r="K127" s="385"/>
      <c r="L127" s="385"/>
      <c r="M127" s="385"/>
      <c r="N127" s="385"/>
      <c r="O127" s="385"/>
    </row>
    <row r="128" spans="1:15" ht="15" customHeight="1" x14ac:dyDescent="0.25">
      <c r="B128" s="386"/>
      <c r="C128" s="384"/>
      <c r="F128" s="385"/>
      <c r="G128" s="385"/>
      <c r="H128" s="385"/>
      <c r="I128" s="385"/>
      <c r="J128" s="385"/>
      <c r="K128" s="385"/>
      <c r="L128" s="385"/>
      <c r="M128" s="385"/>
      <c r="N128" s="385"/>
      <c r="O128" s="385"/>
    </row>
    <row r="129" spans="2:15" ht="15" customHeight="1" x14ac:dyDescent="0.25">
      <c r="B129" s="386"/>
      <c r="C129" s="384"/>
      <c r="F129" s="385"/>
      <c r="G129" s="385"/>
      <c r="H129" s="385"/>
      <c r="I129" s="385"/>
      <c r="J129" s="385"/>
      <c r="K129" s="385"/>
      <c r="L129" s="385"/>
      <c r="M129" s="385"/>
      <c r="N129" s="385"/>
      <c r="O129" s="385"/>
    </row>
    <row r="130" spans="2:15" ht="15" customHeight="1" x14ac:dyDescent="0.25">
      <c r="B130" s="386"/>
      <c r="C130" s="384"/>
      <c r="F130" s="385"/>
      <c r="G130" s="385"/>
      <c r="H130" s="385"/>
      <c r="I130" s="385"/>
      <c r="J130" s="385"/>
      <c r="K130" s="385"/>
      <c r="L130" s="385"/>
      <c r="M130" s="385"/>
      <c r="N130" s="385"/>
      <c r="O130" s="385"/>
    </row>
    <row r="131" spans="2:15" ht="15" customHeight="1" x14ac:dyDescent="0.25">
      <c r="B131" s="386"/>
      <c r="C131" s="384"/>
      <c r="F131" s="385"/>
      <c r="G131" s="385"/>
      <c r="H131" s="385"/>
      <c r="I131" s="385"/>
      <c r="J131" s="385"/>
      <c r="K131" s="385"/>
      <c r="L131" s="385"/>
      <c r="M131" s="385"/>
      <c r="N131" s="385"/>
      <c r="O131" s="385"/>
    </row>
    <row r="132" spans="2:15" ht="15" customHeight="1" x14ac:dyDescent="0.25">
      <c r="B132" s="386"/>
      <c r="C132" s="384"/>
      <c r="F132" s="385"/>
      <c r="G132" s="385"/>
      <c r="H132" s="385"/>
      <c r="I132" s="385"/>
      <c r="J132" s="385"/>
      <c r="K132" s="385"/>
      <c r="L132" s="385"/>
      <c r="M132" s="385"/>
      <c r="N132" s="385"/>
      <c r="O132" s="385"/>
    </row>
    <row r="133" spans="2:15" ht="15" customHeight="1" x14ac:dyDescent="0.25">
      <c r="B133" s="386"/>
      <c r="C133" s="384"/>
      <c r="F133" s="385"/>
      <c r="G133" s="385"/>
      <c r="H133" s="385"/>
      <c r="I133" s="385"/>
      <c r="J133" s="385"/>
      <c r="K133" s="385"/>
      <c r="L133" s="385"/>
      <c r="M133" s="385"/>
      <c r="N133" s="385"/>
      <c r="O133" s="385"/>
    </row>
    <row r="134" spans="2:15" ht="15" customHeight="1" x14ac:dyDescent="0.25">
      <c r="B134" s="386"/>
      <c r="C134" s="384"/>
      <c r="F134" s="385"/>
      <c r="G134" s="385"/>
      <c r="H134" s="385"/>
      <c r="I134" s="385"/>
      <c r="J134" s="385"/>
      <c r="K134" s="385"/>
      <c r="L134" s="385"/>
      <c r="M134" s="385"/>
      <c r="N134" s="385"/>
      <c r="O134" s="385"/>
    </row>
    <row r="135" spans="2:15" ht="15" customHeight="1" x14ac:dyDescent="0.25">
      <c r="B135" s="386"/>
      <c r="C135" s="384"/>
      <c r="F135" s="385"/>
      <c r="G135" s="385"/>
      <c r="H135" s="385"/>
      <c r="I135" s="385"/>
      <c r="J135" s="385"/>
      <c r="K135" s="385"/>
      <c r="L135" s="385"/>
      <c r="M135" s="385"/>
      <c r="N135" s="385"/>
      <c r="O135" s="385"/>
    </row>
    <row r="136" spans="2:15" ht="15" customHeight="1" x14ac:dyDescent="0.25">
      <c r="B136" s="389"/>
      <c r="C136" s="384"/>
      <c r="F136" s="385"/>
      <c r="G136" s="385"/>
      <c r="H136" s="385"/>
      <c r="I136" s="385"/>
      <c r="J136" s="385"/>
      <c r="K136" s="385"/>
      <c r="L136" s="385"/>
      <c r="M136" s="385"/>
      <c r="N136" s="385"/>
      <c r="O136" s="385"/>
    </row>
    <row r="137" spans="2:15" ht="15" customHeight="1" x14ac:dyDescent="0.25">
      <c r="C137" s="384"/>
      <c r="F137" s="385"/>
      <c r="G137" s="385"/>
      <c r="H137" s="385"/>
      <c r="I137" s="385"/>
      <c r="J137" s="385"/>
      <c r="K137" s="385"/>
      <c r="L137" s="385"/>
      <c r="M137" s="385"/>
      <c r="N137" s="385"/>
      <c r="O137" s="385"/>
    </row>
    <row r="138" spans="2:15" ht="15" customHeight="1" x14ac:dyDescent="0.25">
      <c r="B138" s="389"/>
      <c r="C138" s="384"/>
      <c r="F138" s="385"/>
      <c r="G138" s="385"/>
      <c r="H138" s="385"/>
      <c r="I138" s="385"/>
      <c r="J138" s="385"/>
      <c r="K138" s="385"/>
      <c r="L138" s="385"/>
      <c r="M138" s="385"/>
      <c r="N138" s="385"/>
      <c r="O138" s="385"/>
    </row>
    <row r="139" spans="2:15" ht="15" customHeight="1" x14ac:dyDescent="0.25">
      <c r="C139" s="384"/>
      <c r="F139" s="385"/>
      <c r="G139" s="385"/>
      <c r="H139" s="385"/>
      <c r="I139" s="385"/>
      <c r="J139" s="385"/>
      <c r="K139" s="385"/>
      <c r="L139" s="385"/>
      <c r="M139" s="385"/>
      <c r="N139" s="385"/>
      <c r="O139" s="385"/>
    </row>
    <row r="140" spans="2:15" ht="15" customHeight="1" x14ac:dyDescent="0.25">
      <c r="B140" s="386"/>
      <c r="C140" s="384"/>
      <c r="F140" s="385"/>
      <c r="G140" s="385"/>
      <c r="H140" s="385"/>
      <c r="I140" s="385"/>
      <c r="J140" s="385"/>
      <c r="K140" s="385"/>
      <c r="L140" s="385"/>
      <c r="M140" s="385"/>
      <c r="N140" s="385"/>
      <c r="O140" s="385"/>
    </row>
    <row r="141" spans="2:15" ht="15" customHeight="1" x14ac:dyDescent="0.25">
      <c r="B141" s="386"/>
      <c r="C141" s="384"/>
      <c r="F141" s="385"/>
      <c r="G141" s="385"/>
      <c r="H141" s="385"/>
      <c r="I141" s="385"/>
      <c r="J141" s="385"/>
      <c r="K141" s="385"/>
      <c r="L141" s="385"/>
      <c r="M141" s="385"/>
      <c r="N141" s="385"/>
      <c r="O141" s="385"/>
    </row>
    <row r="142" spans="2:15" ht="15" customHeight="1" x14ac:dyDescent="0.25">
      <c r="B142" s="386"/>
      <c r="C142" s="384"/>
      <c r="F142" s="385"/>
      <c r="G142" s="385"/>
      <c r="H142" s="385"/>
      <c r="I142" s="385"/>
      <c r="J142" s="385"/>
      <c r="K142" s="385"/>
      <c r="L142" s="385"/>
      <c r="M142" s="385"/>
      <c r="N142" s="385"/>
      <c r="O142" s="385"/>
    </row>
    <row r="143" spans="2:15" ht="15" customHeight="1" x14ac:dyDescent="0.25">
      <c r="B143" s="389"/>
      <c r="C143" s="384"/>
      <c r="F143" s="385"/>
      <c r="G143" s="385"/>
      <c r="H143" s="385"/>
      <c r="I143" s="385"/>
      <c r="J143" s="385"/>
      <c r="K143" s="385"/>
      <c r="L143" s="385"/>
      <c r="M143" s="385"/>
      <c r="N143" s="385"/>
      <c r="O143" s="385"/>
    </row>
    <row r="144" spans="2:15" ht="15" customHeight="1" x14ac:dyDescent="0.25">
      <c r="C144" s="384"/>
      <c r="F144" s="385"/>
      <c r="G144" s="385"/>
      <c r="H144" s="385"/>
      <c r="I144" s="385"/>
      <c r="J144" s="385"/>
      <c r="K144" s="385"/>
      <c r="L144" s="385"/>
      <c r="M144" s="385"/>
      <c r="N144" s="385"/>
      <c r="O144" s="385"/>
    </row>
    <row r="145" spans="1:15" ht="15" customHeight="1" x14ac:dyDescent="0.25">
      <c r="B145" s="386"/>
      <c r="C145" s="384"/>
      <c r="F145" s="385"/>
      <c r="G145" s="385"/>
      <c r="H145" s="385"/>
      <c r="I145" s="385"/>
      <c r="J145" s="385"/>
      <c r="K145" s="385"/>
      <c r="L145" s="385"/>
      <c r="M145" s="385"/>
      <c r="N145" s="385"/>
      <c r="O145" s="385"/>
    </row>
    <row r="146" spans="1:15" ht="15" customHeight="1" x14ac:dyDescent="0.25">
      <c r="B146" s="386"/>
      <c r="C146" s="384"/>
      <c r="F146" s="385"/>
      <c r="G146" s="385"/>
      <c r="H146" s="385"/>
      <c r="I146" s="385"/>
      <c r="J146" s="385"/>
      <c r="K146" s="385"/>
      <c r="L146" s="385"/>
      <c r="M146" s="385"/>
      <c r="N146" s="385"/>
      <c r="O146" s="385"/>
    </row>
    <row r="147" spans="1:15" ht="15" customHeight="1" x14ac:dyDescent="0.25">
      <c r="B147" s="389"/>
      <c r="C147" s="384"/>
      <c r="F147" s="385"/>
      <c r="G147" s="385"/>
      <c r="H147" s="385"/>
      <c r="I147" s="385"/>
      <c r="J147" s="385"/>
      <c r="K147" s="385"/>
      <c r="L147" s="385"/>
      <c r="M147" s="385"/>
      <c r="N147" s="385"/>
      <c r="O147" s="385"/>
    </row>
    <row r="148" spans="1:15" ht="15" customHeight="1" x14ac:dyDescent="0.25">
      <c r="C148" s="384"/>
      <c r="F148" s="385"/>
      <c r="G148" s="385"/>
      <c r="H148" s="385"/>
      <c r="I148" s="385"/>
      <c r="J148" s="385"/>
      <c r="K148" s="385"/>
      <c r="L148" s="385"/>
      <c r="M148" s="385"/>
      <c r="N148" s="385"/>
      <c r="O148" s="385"/>
    </row>
    <row r="149" spans="1:15" ht="15" customHeight="1" x14ac:dyDescent="0.25">
      <c r="B149" s="388"/>
      <c r="C149" s="390"/>
      <c r="F149" s="385"/>
      <c r="G149" s="385"/>
      <c r="H149" s="385"/>
      <c r="I149" s="385"/>
      <c r="J149" s="385"/>
      <c r="K149" s="385"/>
      <c r="L149" s="385"/>
      <c r="M149" s="385"/>
      <c r="N149" s="385"/>
      <c r="O149" s="385"/>
    </row>
    <row r="150" spans="1:15" ht="15" customHeight="1" x14ac:dyDescent="0.25">
      <c r="B150" s="389"/>
      <c r="C150" s="384"/>
      <c r="F150" s="385"/>
      <c r="G150" s="385"/>
      <c r="H150" s="385"/>
      <c r="I150" s="385"/>
      <c r="J150" s="385"/>
      <c r="K150" s="385"/>
      <c r="L150" s="385"/>
      <c r="M150" s="385"/>
      <c r="N150" s="385"/>
      <c r="O150" s="385"/>
    </row>
    <row r="151" spans="1:15" ht="15" customHeight="1" x14ac:dyDescent="0.25">
      <c r="B151" s="389"/>
      <c r="C151" s="384"/>
      <c r="F151" s="385"/>
      <c r="G151" s="385"/>
      <c r="H151" s="385"/>
      <c r="I151" s="385"/>
      <c r="J151" s="385"/>
      <c r="K151" s="385"/>
      <c r="L151" s="385"/>
      <c r="M151" s="385"/>
      <c r="N151" s="385"/>
      <c r="O151" s="385"/>
    </row>
    <row r="152" spans="1:15" ht="15" customHeight="1" x14ac:dyDescent="0.25">
      <c r="C152" s="384"/>
      <c r="F152" s="385"/>
      <c r="G152" s="385"/>
      <c r="H152" s="385"/>
      <c r="I152" s="385"/>
      <c r="J152" s="385"/>
      <c r="K152" s="385"/>
      <c r="L152" s="385"/>
      <c r="M152" s="385"/>
      <c r="N152" s="385"/>
      <c r="O152" s="385"/>
    </row>
    <row r="153" spans="1:15" ht="15" customHeight="1" x14ac:dyDescent="0.25">
      <c r="F153" s="385"/>
      <c r="G153" s="385"/>
      <c r="H153" s="385"/>
      <c r="I153" s="385"/>
      <c r="J153" s="385"/>
      <c r="K153" s="385"/>
      <c r="L153" s="385"/>
      <c r="M153" s="385"/>
      <c r="N153" s="385"/>
      <c r="O153" s="385"/>
    </row>
    <row r="154" spans="1:15" ht="15" customHeight="1" x14ac:dyDescent="0.25">
      <c r="C154" s="390"/>
      <c r="F154" s="391"/>
      <c r="G154" s="391"/>
      <c r="H154" s="385"/>
      <c r="I154" s="385"/>
      <c r="J154" s="385"/>
      <c r="K154" s="385"/>
      <c r="L154" s="385"/>
      <c r="M154" s="385"/>
      <c r="N154" s="385"/>
      <c r="O154" s="385"/>
    </row>
    <row r="155" spans="1:15" ht="15" customHeight="1" x14ac:dyDescent="0.25">
      <c r="C155" s="390"/>
      <c r="F155" s="391"/>
      <c r="G155" s="391"/>
      <c r="H155" s="391"/>
      <c r="I155" s="391"/>
      <c r="J155" s="391"/>
      <c r="K155" s="391"/>
      <c r="L155" s="391"/>
      <c r="M155" s="391"/>
      <c r="N155" s="391"/>
      <c r="O155" s="391"/>
    </row>
    <row r="156" spans="1:15" ht="15" customHeight="1" x14ac:dyDescent="0.25">
      <c r="H156" s="391"/>
      <c r="I156" s="391"/>
      <c r="J156" s="391"/>
      <c r="K156" s="391"/>
      <c r="L156" s="391"/>
      <c r="M156" s="391"/>
      <c r="N156" s="391"/>
      <c r="O156" s="391"/>
    </row>
    <row r="157" spans="1:15" ht="15" customHeight="1" x14ac:dyDescent="0.25">
      <c r="A157" s="381"/>
      <c r="C157" s="381"/>
      <c r="D157" s="382"/>
    </row>
    <row r="158" spans="1:15" ht="15" customHeight="1" x14ac:dyDescent="0.25">
      <c r="B158" s="386"/>
      <c r="C158" s="384"/>
      <c r="D158" s="380"/>
      <c r="F158" s="385"/>
      <c r="G158" s="385"/>
    </row>
    <row r="159" spans="1:15" ht="15" customHeight="1" x14ac:dyDescent="0.25">
      <c r="B159" s="386"/>
      <c r="C159" s="384"/>
      <c r="D159" s="380"/>
      <c r="E159" s="380"/>
      <c r="F159" s="387"/>
      <c r="G159" s="387"/>
      <c r="H159" s="385"/>
      <c r="I159" s="385"/>
      <c r="J159" s="385"/>
      <c r="K159" s="385"/>
      <c r="L159" s="385"/>
      <c r="M159" s="385"/>
      <c r="N159" s="385"/>
      <c r="O159" s="385"/>
    </row>
    <row r="160" spans="1:15" ht="15" customHeight="1" x14ac:dyDescent="0.25">
      <c r="B160" s="386"/>
      <c r="C160" s="384"/>
      <c r="F160" s="385"/>
      <c r="G160" s="385"/>
      <c r="H160" s="387"/>
      <c r="I160" s="387"/>
      <c r="J160" s="387"/>
      <c r="K160" s="387"/>
      <c r="L160" s="387"/>
      <c r="M160" s="387"/>
      <c r="N160" s="387"/>
      <c r="O160" s="387"/>
    </row>
    <row r="161" spans="2:15" ht="15" customHeight="1" x14ac:dyDescent="0.25">
      <c r="B161" s="386"/>
      <c r="C161" s="384"/>
      <c r="F161" s="385"/>
      <c r="G161" s="385"/>
      <c r="H161" s="385"/>
      <c r="I161" s="385"/>
      <c r="J161" s="385"/>
      <c r="K161" s="385"/>
      <c r="L161" s="385"/>
      <c r="M161" s="385"/>
      <c r="N161" s="385"/>
      <c r="O161" s="385"/>
    </row>
    <row r="162" spans="2:15" ht="15" customHeight="1" x14ac:dyDescent="0.25">
      <c r="B162" s="386"/>
      <c r="C162" s="384"/>
      <c r="F162" s="385"/>
      <c r="G162" s="385"/>
      <c r="H162" s="385"/>
      <c r="I162" s="385"/>
      <c r="J162" s="385"/>
      <c r="K162" s="385"/>
      <c r="L162" s="385"/>
      <c r="M162" s="385"/>
      <c r="N162" s="385"/>
      <c r="O162" s="385"/>
    </row>
    <row r="163" spans="2:15" ht="15" customHeight="1" x14ac:dyDescent="0.25">
      <c r="B163" s="386"/>
      <c r="C163" s="384"/>
      <c r="F163" s="385"/>
      <c r="G163" s="385"/>
      <c r="H163" s="385"/>
      <c r="I163" s="385"/>
      <c r="J163" s="385"/>
      <c r="K163" s="385"/>
      <c r="L163" s="385"/>
      <c r="M163" s="385"/>
      <c r="N163" s="385"/>
      <c r="O163" s="385"/>
    </row>
    <row r="164" spans="2:15" ht="15" customHeight="1" x14ac:dyDescent="0.25">
      <c r="B164" s="388"/>
      <c r="C164" s="384"/>
      <c r="F164" s="385"/>
      <c r="G164" s="385"/>
      <c r="H164" s="385"/>
      <c r="I164" s="385"/>
      <c r="J164" s="385"/>
      <c r="K164" s="385"/>
      <c r="L164" s="385"/>
      <c r="M164" s="385"/>
      <c r="N164" s="385"/>
      <c r="O164" s="385"/>
    </row>
    <row r="165" spans="2:15" ht="15" customHeight="1" x14ac:dyDescent="0.25">
      <c r="C165" s="384"/>
      <c r="F165" s="385"/>
      <c r="G165" s="385"/>
      <c r="H165" s="385"/>
      <c r="I165" s="385"/>
      <c r="J165" s="385"/>
      <c r="K165" s="385"/>
      <c r="L165" s="385"/>
      <c r="M165" s="385"/>
      <c r="N165" s="385"/>
      <c r="O165" s="385"/>
    </row>
    <row r="166" spans="2:15" ht="15" customHeight="1" x14ac:dyDescent="0.25">
      <c r="B166" s="386"/>
      <c r="C166" s="384"/>
      <c r="F166" s="385"/>
      <c r="G166" s="385"/>
      <c r="H166" s="385"/>
      <c r="I166" s="385"/>
      <c r="J166" s="385"/>
      <c r="K166" s="385"/>
      <c r="L166" s="385"/>
      <c r="M166" s="385"/>
      <c r="N166" s="385"/>
      <c r="O166" s="385"/>
    </row>
    <row r="167" spans="2:15" ht="15" customHeight="1" x14ac:dyDescent="0.25">
      <c r="B167" s="386"/>
      <c r="C167" s="384"/>
      <c r="F167" s="385"/>
      <c r="G167" s="385"/>
      <c r="H167" s="385"/>
      <c r="I167" s="385"/>
      <c r="J167" s="385"/>
      <c r="K167" s="385"/>
      <c r="L167" s="385"/>
      <c r="M167" s="385"/>
      <c r="N167" s="385"/>
      <c r="O167" s="385"/>
    </row>
    <row r="168" spans="2:15" ht="15" customHeight="1" x14ac:dyDescent="0.25">
      <c r="B168" s="386"/>
      <c r="C168" s="384"/>
      <c r="F168" s="385"/>
      <c r="G168" s="385"/>
      <c r="H168" s="385"/>
      <c r="I168" s="385"/>
      <c r="J168" s="385"/>
      <c r="K168" s="385"/>
      <c r="L168" s="385"/>
      <c r="M168" s="385"/>
      <c r="N168" s="385"/>
      <c r="O168" s="385"/>
    </row>
    <row r="169" spans="2:15" ht="15" customHeight="1" x14ac:dyDescent="0.25">
      <c r="B169" s="386"/>
      <c r="C169" s="384"/>
      <c r="F169" s="385"/>
      <c r="G169" s="385"/>
      <c r="H169" s="385"/>
      <c r="I169" s="385"/>
      <c r="J169" s="385"/>
      <c r="K169" s="385"/>
      <c r="L169" s="385"/>
      <c r="M169" s="385"/>
      <c r="N169" s="385"/>
      <c r="O169" s="385"/>
    </row>
    <row r="170" spans="2:15" ht="15" customHeight="1" x14ac:dyDescent="0.25">
      <c r="C170" s="384"/>
      <c r="F170" s="385"/>
      <c r="G170" s="385"/>
      <c r="H170" s="385"/>
      <c r="I170" s="385"/>
      <c r="J170" s="385"/>
      <c r="K170" s="385"/>
      <c r="L170" s="385"/>
      <c r="M170" s="385"/>
      <c r="N170" s="385"/>
      <c r="O170" s="385"/>
    </row>
    <row r="171" spans="2:15" ht="15" customHeight="1" x14ac:dyDescent="0.25">
      <c r="B171" s="386"/>
      <c r="C171" s="384"/>
      <c r="F171" s="385"/>
      <c r="G171" s="385"/>
      <c r="H171" s="385"/>
      <c r="I171" s="385"/>
      <c r="J171" s="385"/>
      <c r="K171" s="385"/>
      <c r="L171" s="385"/>
      <c r="M171" s="385"/>
      <c r="N171" s="385"/>
      <c r="O171" s="385"/>
    </row>
    <row r="172" spans="2:15" ht="15" customHeight="1" x14ac:dyDescent="0.25">
      <c r="B172" s="386"/>
      <c r="C172" s="384"/>
      <c r="F172" s="385"/>
      <c r="G172" s="385"/>
      <c r="H172" s="385"/>
      <c r="I172" s="385"/>
      <c r="J172" s="385"/>
      <c r="K172" s="385"/>
      <c r="L172" s="385"/>
      <c r="M172" s="385"/>
      <c r="N172" s="385"/>
      <c r="O172" s="385"/>
    </row>
    <row r="173" spans="2:15" ht="15" customHeight="1" x14ac:dyDescent="0.25">
      <c r="B173" s="386"/>
      <c r="C173" s="384"/>
      <c r="F173" s="385"/>
      <c r="G173" s="385"/>
      <c r="H173" s="385"/>
      <c r="I173" s="385"/>
      <c r="J173" s="385"/>
      <c r="K173" s="385"/>
      <c r="L173" s="385"/>
      <c r="M173" s="385"/>
      <c r="N173" s="385"/>
      <c r="O173" s="385"/>
    </row>
    <row r="174" spans="2:15" ht="15" customHeight="1" x14ac:dyDescent="0.25">
      <c r="B174" s="388"/>
      <c r="C174" s="384"/>
      <c r="F174" s="385"/>
      <c r="G174" s="385"/>
      <c r="H174" s="385"/>
      <c r="I174" s="385"/>
      <c r="J174" s="385"/>
      <c r="K174" s="385"/>
      <c r="L174" s="385"/>
      <c r="M174" s="385"/>
      <c r="N174" s="385"/>
      <c r="O174" s="385"/>
    </row>
    <row r="175" spans="2:15" ht="15" customHeight="1" x14ac:dyDescent="0.25">
      <c r="B175" s="386"/>
      <c r="C175" s="384"/>
      <c r="F175" s="385"/>
      <c r="G175" s="385"/>
      <c r="H175" s="385"/>
      <c r="I175" s="385"/>
      <c r="J175" s="385"/>
      <c r="K175" s="385"/>
      <c r="L175" s="385"/>
      <c r="M175" s="385"/>
      <c r="N175" s="385"/>
      <c r="O175" s="385"/>
    </row>
    <row r="176" spans="2:15" ht="15" customHeight="1" x14ac:dyDescent="0.25">
      <c r="B176" s="386"/>
      <c r="C176" s="384"/>
      <c r="F176" s="385"/>
      <c r="G176" s="385"/>
      <c r="H176" s="385"/>
      <c r="I176" s="385"/>
      <c r="J176" s="385"/>
      <c r="K176" s="385"/>
      <c r="L176" s="385"/>
      <c r="M176" s="385"/>
      <c r="N176" s="385"/>
      <c r="O176" s="385"/>
    </row>
    <row r="177" spans="2:15" ht="15" customHeight="1" x14ac:dyDescent="0.25">
      <c r="B177" s="386"/>
      <c r="C177" s="384"/>
      <c r="F177" s="385"/>
      <c r="G177" s="385"/>
      <c r="H177" s="385"/>
      <c r="I177" s="385"/>
      <c r="J177" s="385"/>
      <c r="K177" s="385"/>
      <c r="L177" s="385"/>
      <c r="M177" s="385"/>
      <c r="N177" s="385"/>
      <c r="O177" s="385"/>
    </row>
    <row r="178" spans="2:15" ht="15" customHeight="1" x14ac:dyDescent="0.25">
      <c r="B178" s="386"/>
      <c r="C178" s="384"/>
      <c r="F178" s="385"/>
      <c r="G178" s="385"/>
      <c r="H178" s="385"/>
      <c r="I178" s="385"/>
      <c r="J178" s="385"/>
      <c r="K178" s="385"/>
      <c r="L178" s="385"/>
      <c r="M178" s="385"/>
      <c r="N178" s="385"/>
      <c r="O178" s="385"/>
    </row>
    <row r="179" spans="2:15" ht="15" customHeight="1" x14ac:dyDescent="0.25">
      <c r="B179" s="386"/>
      <c r="C179" s="384"/>
      <c r="F179" s="385"/>
      <c r="G179" s="385"/>
      <c r="H179" s="385"/>
      <c r="I179" s="385"/>
      <c r="J179" s="385"/>
      <c r="K179" s="385"/>
      <c r="L179" s="385"/>
      <c r="M179" s="385"/>
      <c r="N179" s="385"/>
      <c r="O179" s="385"/>
    </row>
    <row r="180" spans="2:15" ht="15" customHeight="1" x14ac:dyDescent="0.25">
      <c r="B180" s="386"/>
      <c r="C180" s="384"/>
      <c r="F180" s="385"/>
      <c r="G180" s="385"/>
      <c r="H180" s="385"/>
      <c r="I180" s="385"/>
      <c r="J180" s="385"/>
      <c r="K180" s="385"/>
      <c r="L180" s="385"/>
      <c r="M180" s="385"/>
      <c r="N180" s="385"/>
      <c r="O180" s="385"/>
    </row>
    <row r="181" spans="2:15" ht="15" customHeight="1" x14ac:dyDescent="0.25">
      <c r="B181" s="386"/>
      <c r="C181" s="384"/>
      <c r="F181" s="385"/>
      <c r="G181" s="385"/>
      <c r="H181" s="385"/>
      <c r="I181" s="385"/>
      <c r="J181" s="385"/>
      <c r="K181" s="385"/>
      <c r="L181" s="385"/>
      <c r="M181" s="385"/>
      <c r="N181" s="385"/>
      <c r="O181" s="385"/>
    </row>
    <row r="182" spans="2:15" ht="15" customHeight="1" x14ac:dyDescent="0.25">
      <c r="B182" s="386"/>
      <c r="C182" s="384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2:15" ht="15" customHeight="1" x14ac:dyDescent="0.25">
      <c r="B183" s="389"/>
      <c r="C183" s="384"/>
      <c r="F183" s="385"/>
      <c r="G183" s="385"/>
      <c r="H183" s="385"/>
      <c r="I183" s="385"/>
      <c r="J183" s="385"/>
      <c r="K183" s="385"/>
      <c r="L183" s="385"/>
      <c r="M183" s="385"/>
      <c r="N183" s="385"/>
      <c r="O183" s="385"/>
    </row>
    <row r="184" spans="2:15" ht="15" customHeight="1" x14ac:dyDescent="0.25">
      <c r="C184" s="384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</row>
    <row r="185" spans="2:15" ht="15" customHeight="1" x14ac:dyDescent="0.25">
      <c r="B185" s="389"/>
      <c r="C185" s="384"/>
      <c r="F185" s="385"/>
      <c r="G185" s="385"/>
      <c r="H185" s="385"/>
      <c r="I185" s="385"/>
      <c r="J185" s="385"/>
      <c r="K185" s="385"/>
      <c r="L185" s="385"/>
      <c r="M185" s="385"/>
      <c r="N185" s="385"/>
      <c r="O185" s="385"/>
    </row>
    <row r="186" spans="2:15" ht="15" customHeight="1" x14ac:dyDescent="0.25">
      <c r="C186" s="384"/>
      <c r="F186" s="385"/>
      <c r="G186" s="385"/>
      <c r="H186" s="385"/>
      <c r="I186" s="385"/>
      <c r="J186" s="385"/>
      <c r="K186" s="385"/>
      <c r="L186" s="385"/>
      <c r="M186" s="385"/>
      <c r="N186" s="385"/>
      <c r="O186" s="385"/>
    </row>
    <row r="187" spans="2:15" ht="15" customHeight="1" x14ac:dyDescent="0.25">
      <c r="B187" s="386"/>
      <c r="C187" s="384"/>
      <c r="F187" s="385"/>
      <c r="G187" s="385"/>
      <c r="H187" s="385"/>
      <c r="I187" s="385"/>
      <c r="J187" s="385"/>
      <c r="K187" s="385"/>
      <c r="L187" s="385"/>
      <c r="M187" s="385"/>
      <c r="N187" s="385"/>
      <c r="O187" s="385"/>
    </row>
    <row r="188" spans="2:15" ht="15" customHeight="1" x14ac:dyDescent="0.25">
      <c r="B188" s="386"/>
      <c r="C188" s="384"/>
      <c r="F188" s="385"/>
      <c r="G188" s="385"/>
      <c r="H188" s="385"/>
      <c r="I188" s="385"/>
      <c r="J188" s="385"/>
      <c r="K188" s="385"/>
      <c r="L188" s="385"/>
      <c r="M188" s="385"/>
      <c r="N188" s="385"/>
      <c r="O188" s="385"/>
    </row>
    <row r="189" spans="2:15" ht="15" customHeight="1" x14ac:dyDescent="0.25">
      <c r="B189" s="386"/>
      <c r="C189" s="384"/>
      <c r="F189" s="385"/>
      <c r="G189" s="385"/>
      <c r="H189" s="385"/>
      <c r="I189" s="385"/>
      <c r="J189" s="385"/>
      <c r="K189" s="385"/>
      <c r="L189" s="385"/>
      <c r="M189" s="385"/>
      <c r="N189" s="385"/>
      <c r="O189" s="385"/>
    </row>
    <row r="190" spans="2:15" ht="15" customHeight="1" x14ac:dyDescent="0.25">
      <c r="B190" s="389"/>
      <c r="C190" s="384"/>
      <c r="F190" s="385"/>
      <c r="G190" s="385"/>
      <c r="H190" s="385"/>
      <c r="I190" s="385"/>
      <c r="J190" s="385"/>
      <c r="K190" s="385"/>
      <c r="L190" s="385"/>
      <c r="M190" s="385"/>
      <c r="N190" s="385"/>
      <c r="O190" s="385"/>
    </row>
    <row r="191" spans="2:15" ht="15" customHeight="1" x14ac:dyDescent="0.25">
      <c r="C191" s="384"/>
      <c r="F191" s="385"/>
      <c r="G191" s="385"/>
      <c r="H191" s="385"/>
      <c r="I191" s="385"/>
      <c r="J191" s="385"/>
      <c r="K191" s="385"/>
      <c r="L191" s="385"/>
      <c r="M191" s="385"/>
      <c r="N191" s="385"/>
      <c r="O191" s="385"/>
    </row>
    <row r="192" spans="2:15" ht="15" customHeight="1" x14ac:dyDescent="0.25">
      <c r="B192" s="386"/>
      <c r="C192" s="384"/>
      <c r="F192" s="385"/>
      <c r="G192" s="385"/>
      <c r="H192" s="385"/>
      <c r="I192" s="385"/>
      <c r="J192" s="385"/>
      <c r="K192" s="385"/>
      <c r="L192" s="385"/>
      <c r="M192" s="385"/>
      <c r="N192" s="385"/>
      <c r="O192" s="385"/>
    </row>
    <row r="193" spans="1:15" ht="15" customHeight="1" x14ac:dyDescent="0.25">
      <c r="B193" s="386"/>
      <c r="C193" s="384"/>
      <c r="F193" s="385"/>
      <c r="G193" s="385"/>
      <c r="H193" s="385"/>
      <c r="I193" s="385"/>
      <c r="J193" s="385"/>
      <c r="K193" s="385"/>
      <c r="L193" s="385"/>
      <c r="M193" s="385"/>
      <c r="N193" s="385"/>
      <c r="O193" s="385"/>
    </row>
    <row r="194" spans="1:15" ht="15" customHeight="1" x14ac:dyDescent="0.25">
      <c r="B194" s="389"/>
      <c r="C194" s="384"/>
      <c r="F194" s="385"/>
      <c r="G194" s="385"/>
      <c r="H194" s="385"/>
      <c r="I194" s="385"/>
      <c r="J194" s="385"/>
      <c r="K194" s="385"/>
      <c r="L194" s="385"/>
      <c r="M194" s="385"/>
      <c r="N194" s="385"/>
      <c r="O194" s="385"/>
    </row>
    <row r="195" spans="1:15" ht="15" customHeight="1" x14ac:dyDescent="0.25">
      <c r="C195" s="384"/>
      <c r="F195" s="385"/>
      <c r="G195" s="385"/>
      <c r="H195" s="385"/>
      <c r="I195" s="385"/>
      <c r="J195" s="385"/>
      <c r="K195" s="385"/>
      <c r="L195" s="385"/>
      <c r="M195" s="385"/>
      <c r="N195" s="385"/>
      <c r="O195" s="385"/>
    </row>
    <row r="196" spans="1:15" ht="15" customHeight="1" x14ac:dyDescent="0.25">
      <c r="B196" s="388"/>
      <c r="C196" s="390"/>
      <c r="F196" s="385"/>
      <c r="G196" s="385"/>
      <c r="H196" s="385"/>
      <c r="I196" s="385"/>
      <c r="J196" s="385"/>
      <c r="K196" s="385"/>
      <c r="L196" s="385"/>
      <c r="M196" s="385"/>
      <c r="N196" s="385"/>
      <c r="O196" s="385"/>
    </row>
    <row r="197" spans="1:15" ht="15" customHeight="1" x14ac:dyDescent="0.25">
      <c r="B197" s="389"/>
      <c r="C197" s="384"/>
      <c r="F197" s="385"/>
      <c r="G197" s="385"/>
      <c r="H197" s="385"/>
      <c r="I197" s="385"/>
      <c r="J197" s="385"/>
      <c r="K197" s="385"/>
      <c r="L197" s="385"/>
      <c r="M197" s="385"/>
      <c r="N197" s="385"/>
      <c r="O197" s="385"/>
    </row>
    <row r="198" spans="1:15" ht="15" customHeight="1" x14ac:dyDescent="0.25">
      <c r="B198" s="389"/>
      <c r="C198" s="384"/>
      <c r="F198" s="385"/>
      <c r="G198" s="385"/>
      <c r="H198" s="385"/>
      <c r="I198" s="385"/>
      <c r="J198" s="385"/>
      <c r="K198" s="385"/>
      <c r="L198" s="385"/>
      <c r="M198" s="385"/>
      <c r="N198" s="385"/>
      <c r="O198" s="385"/>
    </row>
    <row r="199" spans="1:15" ht="15" customHeight="1" x14ac:dyDescent="0.25">
      <c r="C199" s="390"/>
      <c r="F199" s="385"/>
      <c r="G199" s="385"/>
      <c r="H199" s="385"/>
      <c r="I199" s="385"/>
      <c r="J199" s="385"/>
      <c r="K199" s="385"/>
      <c r="L199" s="385"/>
      <c r="M199" s="385"/>
      <c r="N199" s="385"/>
      <c r="O199" s="385"/>
    </row>
    <row r="200" spans="1:15" ht="15" customHeight="1" x14ac:dyDescent="0.25">
      <c r="F200" s="385"/>
      <c r="G200" s="385"/>
      <c r="H200" s="385"/>
      <c r="I200" s="385"/>
      <c r="J200" s="385"/>
      <c r="K200" s="385"/>
      <c r="L200" s="385"/>
      <c r="M200" s="385"/>
      <c r="N200" s="385"/>
      <c r="O200" s="385"/>
    </row>
    <row r="201" spans="1:15" ht="15" customHeight="1" x14ac:dyDescent="0.25">
      <c r="H201" s="385"/>
      <c r="I201" s="385"/>
      <c r="J201" s="385"/>
      <c r="K201" s="385"/>
      <c r="L201" s="385"/>
      <c r="M201" s="385"/>
      <c r="N201" s="385"/>
      <c r="O201" s="385"/>
    </row>
    <row r="202" spans="1:15" ht="15" customHeight="1" x14ac:dyDescent="0.25">
      <c r="M202" s="391"/>
      <c r="N202" s="391"/>
      <c r="O202" s="391"/>
    </row>
    <row r="203" spans="1:15" ht="15" customHeight="1" x14ac:dyDescent="0.25">
      <c r="A203" s="381"/>
      <c r="C203" s="381"/>
      <c r="D203" s="382"/>
    </row>
    <row r="204" spans="1:15" ht="15" customHeight="1" x14ac:dyDescent="0.25">
      <c r="B204" s="386"/>
      <c r="C204" s="384"/>
      <c r="D204" s="380"/>
      <c r="F204" s="385"/>
      <c r="G204" s="385"/>
    </row>
    <row r="205" spans="1:15" ht="15" customHeight="1" x14ac:dyDescent="0.25">
      <c r="B205" s="386"/>
      <c r="C205" s="384"/>
      <c r="D205" s="380"/>
      <c r="E205" s="380"/>
      <c r="F205" s="387"/>
      <c r="G205" s="387"/>
      <c r="H205" s="385"/>
      <c r="I205" s="385"/>
      <c r="J205" s="385"/>
      <c r="K205" s="385"/>
      <c r="L205" s="385"/>
      <c r="M205" s="385"/>
      <c r="N205" s="385"/>
      <c r="O205" s="385"/>
    </row>
    <row r="206" spans="1:15" ht="15" customHeight="1" x14ac:dyDescent="0.25">
      <c r="B206" s="386"/>
      <c r="C206" s="384"/>
      <c r="F206" s="385"/>
      <c r="G206" s="385"/>
      <c r="H206" s="387"/>
      <c r="I206" s="387"/>
      <c r="J206" s="387"/>
      <c r="K206" s="387"/>
      <c r="L206" s="387"/>
      <c r="M206" s="387"/>
      <c r="N206" s="387"/>
      <c r="O206" s="387"/>
    </row>
    <row r="207" spans="1:15" ht="15" customHeight="1" x14ac:dyDescent="0.25">
      <c r="B207" s="386"/>
      <c r="C207" s="384"/>
      <c r="F207" s="385"/>
      <c r="G207" s="385"/>
      <c r="H207" s="385"/>
      <c r="I207" s="385"/>
      <c r="J207" s="385"/>
      <c r="K207" s="385"/>
      <c r="L207" s="385"/>
      <c r="M207" s="385"/>
      <c r="N207" s="385"/>
      <c r="O207" s="385"/>
    </row>
    <row r="208" spans="1:15" ht="15" customHeight="1" x14ac:dyDescent="0.25">
      <c r="B208" s="386"/>
      <c r="C208" s="384"/>
      <c r="F208" s="385"/>
      <c r="G208" s="385"/>
      <c r="H208" s="385"/>
      <c r="I208" s="385"/>
      <c r="J208" s="385"/>
      <c r="K208" s="385"/>
      <c r="L208" s="385"/>
      <c r="M208" s="385"/>
      <c r="N208" s="385"/>
      <c r="O208" s="385"/>
    </row>
    <row r="209" spans="2:15" ht="15" customHeight="1" x14ac:dyDescent="0.25">
      <c r="B209" s="386"/>
      <c r="C209" s="384"/>
      <c r="F209" s="385"/>
      <c r="G209" s="385"/>
      <c r="H209" s="385"/>
      <c r="I209" s="385"/>
      <c r="J209" s="385"/>
      <c r="K209" s="385"/>
      <c r="L209" s="385"/>
      <c r="M209" s="385"/>
      <c r="N209" s="385"/>
      <c r="O209" s="385"/>
    </row>
    <row r="210" spans="2:15" ht="15" customHeight="1" x14ac:dyDescent="0.25">
      <c r="B210" s="388"/>
      <c r="C210" s="384"/>
      <c r="F210" s="385"/>
      <c r="G210" s="385"/>
      <c r="H210" s="385"/>
      <c r="I210" s="385"/>
      <c r="J210" s="385"/>
      <c r="K210" s="385"/>
      <c r="L210" s="385"/>
      <c r="M210" s="385"/>
      <c r="N210" s="385"/>
      <c r="O210" s="385"/>
    </row>
    <row r="211" spans="2:15" ht="15" customHeight="1" x14ac:dyDescent="0.25">
      <c r="C211" s="384"/>
      <c r="F211" s="385"/>
      <c r="G211" s="385"/>
      <c r="H211" s="385"/>
      <c r="I211" s="385"/>
      <c r="J211" s="385"/>
      <c r="K211" s="385"/>
      <c r="L211" s="385"/>
      <c r="M211" s="385"/>
      <c r="N211" s="385"/>
      <c r="O211" s="385"/>
    </row>
    <row r="212" spans="2:15" ht="15" customHeight="1" x14ac:dyDescent="0.25">
      <c r="B212" s="386"/>
      <c r="C212" s="384"/>
      <c r="F212" s="385"/>
      <c r="G212" s="385"/>
      <c r="H212" s="385"/>
      <c r="I212" s="385"/>
      <c r="J212" s="385"/>
      <c r="K212" s="385"/>
      <c r="L212" s="385"/>
      <c r="M212" s="385"/>
      <c r="N212" s="385"/>
      <c r="O212" s="385"/>
    </row>
    <row r="213" spans="2:15" ht="15" customHeight="1" x14ac:dyDescent="0.25">
      <c r="B213" s="386"/>
      <c r="C213" s="384"/>
      <c r="F213" s="385"/>
      <c r="G213" s="385"/>
      <c r="H213" s="385"/>
      <c r="I213" s="385"/>
      <c r="J213" s="385"/>
      <c r="K213" s="385"/>
      <c r="L213" s="385"/>
      <c r="M213" s="385"/>
      <c r="N213" s="385"/>
      <c r="O213" s="385"/>
    </row>
    <row r="214" spans="2:15" ht="15" customHeight="1" x14ac:dyDescent="0.25">
      <c r="B214" s="386"/>
      <c r="C214" s="384"/>
      <c r="F214" s="385"/>
      <c r="G214" s="385"/>
      <c r="H214" s="385"/>
      <c r="I214" s="385"/>
      <c r="J214" s="385"/>
      <c r="K214" s="385"/>
      <c r="L214" s="385"/>
      <c r="M214" s="385"/>
      <c r="N214" s="385"/>
      <c r="O214" s="385"/>
    </row>
    <row r="215" spans="2:15" ht="15" customHeight="1" x14ac:dyDescent="0.25">
      <c r="B215" s="386"/>
      <c r="C215" s="384"/>
      <c r="F215" s="385"/>
      <c r="G215" s="385"/>
      <c r="H215" s="385"/>
      <c r="I215" s="385"/>
      <c r="J215" s="385"/>
      <c r="K215" s="385"/>
      <c r="L215" s="385"/>
      <c r="M215" s="385"/>
      <c r="N215" s="385"/>
      <c r="O215" s="385"/>
    </row>
    <row r="216" spans="2:15" ht="15" customHeight="1" x14ac:dyDescent="0.25">
      <c r="C216" s="384"/>
      <c r="F216" s="385"/>
      <c r="G216" s="385"/>
      <c r="H216" s="385"/>
      <c r="I216" s="385"/>
      <c r="J216" s="385"/>
      <c r="K216" s="385"/>
      <c r="L216" s="385"/>
      <c r="M216" s="385"/>
      <c r="N216" s="385"/>
      <c r="O216" s="385"/>
    </row>
    <row r="217" spans="2:15" ht="15" customHeight="1" x14ac:dyDescent="0.25">
      <c r="B217" s="386"/>
      <c r="C217" s="384"/>
      <c r="F217" s="385"/>
      <c r="G217" s="385"/>
      <c r="H217" s="385"/>
      <c r="I217" s="385"/>
      <c r="J217" s="385"/>
      <c r="K217" s="385"/>
      <c r="L217" s="385"/>
      <c r="M217" s="385"/>
      <c r="N217" s="385"/>
      <c r="O217" s="385"/>
    </row>
    <row r="218" spans="2:15" ht="15" customHeight="1" x14ac:dyDescent="0.25">
      <c r="B218" s="386"/>
      <c r="C218" s="384"/>
      <c r="F218" s="385"/>
      <c r="G218" s="385"/>
      <c r="H218" s="385"/>
      <c r="I218" s="385"/>
      <c r="J218" s="385"/>
      <c r="K218" s="385"/>
      <c r="L218" s="385"/>
      <c r="M218" s="385"/>
      <c r="N218" s="385"/>
      <c r="O218" s="385"/>
    </row>
    <row r="219" spans="2:15" ht="15" customHeight="1" x14ac:dyDescent="0.25">
      <c r="B219" s="386"/>
      <c r="C219" s="384"/>
      <c r="F219" s="385"/>
      <c r="G219" s="385"/>
      <c r="H219" s="385"/>
      <c r="I219" s="385"/>
      <c r="J219" s="385"/>
      <c r="K219" s="385"/>
      <c r="L219" s="385"/>
      <c r="M219" s="385"/>
      <c r="N219" s="385"/>
      <c r="O219" s="385"/>
    </row>
    <row r="220" spans="2:15" ht="15" customHeight="1" x14ac:dyDescent="0.25">
      <c r="B220" s="388"/>
      <c r="C220" s="384"/>
      <c r="F220" s="385"/>
      <c r="G220" s="385"/>
      <c r="H220" s="385"/>
      <c r="I220" s="385"/>
      <c r="J220" s="385"/>
      <c r="K220" s="385"/>
      <c r="L220" s="385"/>
      <c r="M220" s="385"/>
      <c r="N220" s="385"/>
      <c r="O220" s="385"/>
    </row>
    <row r="221" spans="2:15" ht="15" customHeight="1" x14ac:dyDescent="0.25">
      <c r="B221" s="386"/>
      <c r="C221" s="384"/>
      <c r="F221" s="385"/>
      <c r="G221" s="385"/>
      <c r="H221" s="385"/>
      <c r="I221" s="385"/>
      <c r="J221" s="385"/>
      <c r="K221" s="385"/>
      <c r="L221" s="385"/>
      <c r="M221" s="385"/>
      <c r="N221" s="385"/>
      <c r="O221" s="385"/>
    </row>
    <row r="222" spans="2:15" ht="15" customHeight="1" x14ac:dyDescent="0.25">
      <c r="B222" s="386"/>
      <c r="C222" s="384"/>
      <c r="F222" s="385"/>
      <c r="G222" s="385"/>
      <c r="H222" s="385"/>
      <c r="I222" s="385"/>
      <c r="J222" s="385"/>
      <c r="K222" s="385"/>
      <c r="L222" s="385"/>
      <c r="M222" s="385"/>
      <c r="N222" s="385"/>
      <c r="O222" s="385"/>
    </row>
    <row r="223" spans="2:15" ht="15" customHeight="1" x14ac:dyDescent="0.25">
      <c r="B223" s="386"/>
      <c r="C223" s="384"/>
      <c r="F223" s="385"/>
      <c r="G223" s="385"/>
      <c r="H223" s="385"/>
      <c r="I223" s="385"/>
      <c r="J223" s="385"/>
      <c r="K223" s="385"/>
      <c r="L223" s="385"/>
      <c r="M223" s="385"/>
      <c r="N223" s="385"/>
      <c r="O223" s="385"/>
    </row>
    <row r="224" spans="2:15" ht="15" customHeight="1" x14ac:dyDescent="0.25">
      <c r="B224" s="386"/>
      <c r="C224" s="384"/>
      <c r="F224" s="385"/>
      <c r="G224" s="385"/>
      <c r="H224" s="385"/>
      <c r="I224" s="385"/>
      <c r="J224" s="385"/>
      <c r="K224" s="385"/>
      <c r="L224" s="385"/>
      <c r="M224" s="385"/>
      <c r="N224" s="385"/>
      <c r="O224" s="385"/>
    </row>
    <row r="225" spans="2:15" ht="15" customHeight="1" x14ac:dyDescent="0.25">
      <c r="B225" s="386"/>
      <c r="C225" s="384"/>
      <c r="F225" s="385"/>
      <c r="G225" s="385"/>
      <c r="H225" s="385"/>
      <c r="I225" s="385"/>
      <c r="J225" s="385"/>
      <c r="K225" s="385"/>
      <c r="L225" s="385"/>
      <c r="M225" s="385"/>
      <c r="N225" s="385"/>
      <c r="O225" s="385"/>
    </row>
    <row r="226" spans="2:15" ht="15" customHeight="1" x14ac:dyDescent="0.25">
      <c r="B226" s="386"/>
      <c r="C226" s="384"/>
      <c r="F226" s="385"/>
      <c r="G226" s="385"/>
      <c r="H226" s="385"/>
      <c r="I226" s="385"/>
      <c r="J226" s="385"/>
      <c r="K226" s="385"/>
      <c r="L226" s="385"/>
      <c r="M226" s="385"/>
      <c r="N226" s="385"/>
      <c r="O226" s="385"/>
    </row>
    <row r="227" spans="2:15" ht="15" customHeight="1" x14ac:dyDescent="0.25">
      <c r="B227" s="386"/>
      <c r="C227" s="384"/>
      <c r="F227" s="385"/>
      <c r="G227" s="385"/>
      <c r="H227" s="385"/>
      <c r="I227" s="385"/>
      <c r="J227" s="385"/>
      <c r="K227" s="385"/>
      <c r="L227" s="385"/>
      <c r="M227" s="385"/>
      <c r="N227" s="385"/>
      <c r="O227" s="385"/>
    </row>
    <row r="228" spans="2:15" ht="15" customHeight="1" x14ac:dyDescent="0.25">
      <c r="B228" s="386"/>
      <c r="C228" s="384"/>
      <c r="F228" s="385"/>
      <c r="G228" s="385"/>
      <c r="H228" s="385"/>
      <c r="I228" s="385"/>
      <c r="J228" s="385"/>
      <c r="K228" s="385"/>
      <c r="L228" s="385"/>
      <c r="M228" s="385"/>
      <c r="N228" s="385"/>
      <c r="O228" s="385"/>
    </row>
    <row r="229" spans="2:15" ht="15" customHeight="1" x14ac:dyDescent="0.25">
      <c r="B229" s="389"/>
      <c r="C229" s="384"/>
      <c r="F229" s="385"/>
      <c r="G229" s="385"/>
      <c r="H229" s="385"/>
      <c r="I229" s="385"/>
      <c r="J229" s="385"/>
      <c r="K229" s="385"/>
      <c r="L229" s="385"/>
      <c r="M229" s="385"/>
      <c r="N229" s="385"/>
      <c r="O229" s="385"/>
    </row>
    <row r="230" spans="2:15" ht="15" customHeight="1" x14ac:dyDescent="0.25">
      <c r="C230" s="384"/>
      <c r="F230" s="385"/>
      <c r="G230" s="385"/>
      <c r="H230" s="385"/>
      <c r="I230" s="385"/>
      <c r="J230" s="385"/>
      <c r="K230" s="385"/>
      <c r="L230" s="385"/>
      <c r="M230" s="385"/>
      <c r="N230" s="385"/>
      <c r="O230" s="385"/>
    </row>
    <row r="231" spans="2:15" ht="15" customHeight="1" x14ac:dyDescent="0.25">
      <c r="B231" s="389"/>
      <c r="C231" s="384"/>
      <c r="F231" s="385"/>
      <c r="G231" s="385"/>
      <c r="H231" s="385"/>
      <c r="I231" s="385"/>
      <c r="J231" s="385"/>
      <c r="K231" s="385"/>
      <c r="L231" s="385"/>
      <c r="M231" s="385"/>
      <c r="N231" s="385"/>
      <c r="O231" s="385"/>
    </row>
    <row r="232" spans="2:15" ht="15" customHeight="1" x14ac:dyDescent="0.25">
      <c r="C232" s="384"/>
      <c r="F232" s="385"/>
      <c r="G232" s="385"/>
      <c r="H232" s="385"/>
      <c r="I232" s="385"/>
      <c r="J232" s="385"/>
      <c r="K232" s="385"/>
      <c r="L232" s="385"/>
      <c r="M232" s="385"/>
      <c r="N232" s="385"/>
      <c r="O232" s="385"/>
    </row>
    <row r="233" spans="2:15" ht="15" customHeight="1" x14ac:dyDescent="0.25">
      <c r="B233" s="386"/>
      <c r="C233" s="384"/>
      <c r="F233" s="385"/>
      <c r="G233" s="385"/>
      <c r="H233" s="385"/>
      <c r="I233" s="385"/>
      <c r="J233" s="385"/>
      <c r="K233" s="385"/>
      <c r="L233" s="385"/>
      <c r="M233" s="385"/>
      <c r="N233" s="385"/>
      <c r="O233" s="385"/>
    </row>
    <row r="234" spans="2:15" ht="15" customHeight="1" x14ac:dyDescent="0.25">
      <c r="B234" s="386"/>
      <c r="C234" s="384"/>
      <c r="F234" s="385"/>
      <c r="G234" s="385"/>
      <c r="H234" s="385"/>
      <c r="I234" s="385"/>
      <c r="J234" s="385"/>
      <c r="K234" s="385"/>
      <c r="L234" s="385"/>
      <c r="M234" s="385"/>
      <c r="N234" s="385"/>
      <c r="O234" s="385"/>
    </row>
    <row r="235" spans="2:15" ht="15" customHeight="1" x14ac:dyDescent="0.25">
      <c r="B235" s="386"/>
      <c r="C235" s="384"/>
      <c r="F235" s="385"/>
      <c r="G235" s="385"/>
      <c r="H235" s="385"/>
      <c r="I235" s="385"/>
      <c r="J235" s="385"/>
      <c r="K235" s="385"/>
      <c r="L235" s="385"/>
      <c r="M235" s="385"/>
      <c r="N235" s="385"/>
      <c r="O235" s="385"/>
    </row>
    <row r="236" spans="2:15" ht="15" customHeight="1" x14ac:dyDescent="0.25">
      <c r="B236" s="389"/>
      <c r="C236" s="384"/>
      <c r="F236" s="385"/>
      <c r="G236" s="385"/>
      <c r="H236" s="385"/>
      <c r="I236" s="385"/>
      <c r="J236" s="385"/>
      <c r="K236" s="385"/>
      <c r="L236" s="385"/>
      <c r="M236" s="385"/>
      <c r="N236" s="385"/>
      <c r="O236" s="385"/>
    </row>
    <row r="237" spans="2:15" ht="15" customHeight="1" x14ac:dyDescent="0.25">
      <c r="C237" s="384"/>
      <c r="F237" s="385"/>
      <c r="G237" s="385"/>
      <c r="H237" s="385"/>
      <c r="I237" s="385"/>
      <c r="J237" s="385"/>
      <c r="K237" s="385"/>
      <c r="L237" s="385"/>
      <c r="M237" s="385"/>
      <c r="N237" s="385"/>
      <c r="O237" s="385"/>
    </row>
    <row r="238" spans="2:15" ht="15" customHeight="1" x14ac:dyDescent="0.25">
      <c r="B238" s="386"/>
      <c r="C238" s="384"/>
      <c r="F238" s="385"/>
      <c r="G238" s="385"/>
      <c r="H238" s="385"/>
      <c r="I238" s="385"/>
      <c r="J238" s="385"/>
      <c r="K238" s="385"/>
      <c r="L238" s="385"/>
      <c r="M238" s="385"/>
      <c r="N238" s="385"/>
      <c r="O238" s="385"/>
    </row>
    <row r="239" spans="2:15" ht="15" customHeight="1" x14ac:dyDescent="0.25">
      <c r="B239" s="386"/>
      <c r="C239" s="384"/>
      <c r="F239" s="385"/>
      <c r="G239" s="385"/>
      <c r="H239" s="385"/>
      <c r="I239" s="385"/>
      <c r="J239" s="385"/>
      <c r="K239" s="385"/>
      <c r="L239" s="385"/>
      <c r="M239" s="385"/>
      <c r="N239" s="385"/>
      <c r="O239" s="385"/>
    </row>
    <row r="240" spans="2:15" ht="15" customHeight="1" x14ac:dyDescent="0.25">
      <c r="B240" s="389"/>
      <c r="C240" s="384"/>
      <c r="F240" s="385"/>
      <c r="G240" s="385"/>
      <c r="H240" s="385"/>
      <c r="I240" s="385"/>
      <c r="J240" s="385"/>
      <c r="K240" s="385"/>
      <c r="L240" s="385"/>
      <c r="M240" s="385"/>
      <c r="N240" s="385"/>
      <c r="O240" s="385"/>
    </row>
    <row r="241" spans="1:15" ht="15" customHeight="1" x14ac:dyDescent="0.25">
      <c r="C241" s="384"/>
      <c r="F241" s="385"/>
      <c r="G241" s="385"/>
      <c r="H241" s="385"/>
      <c r="I241" s="385"/>
      <c r="J241" s="385"/>
      <c r="K241" s="385"/>
      <c r="L241" s="385"/>
      <c r="M241" s="385"/>
      <c r="N241" s="385"/>
      <c r="O241" s="385"/>
    </row>
    <row r="242" spans="1:15" ht="15" customHeight="1" x14ac:dyDescent="0.25">
      <c r="B242" s="388"/>
      <c r="C242" s="390"/>
      <c r="F242" s="385"/>
      <c r="G242" s="385"/>
      <c r="H242" s="385"/>
      <c r="I242" s="385"/>
      <c r="J242" s="385"/>
      <c r="K242" s="385"/>
      <c r="L242" s="385"/>
      <c r="M242" s="385"/>
      <c r="N242" s="385"/>
      <c r="O242" s="385"/>
    </row>
    <row r="243" spans="1:15" ht="15" customHeight="1" x14ac:dyDescent="0.25">
      <c r="B243" s="389"/>
      <c r="C243" s="384"/>
      <c r="F243" s="385"/>
      <c r="G243" s="385"/>
      <c r="H243" s="385"/>
      <c r="I243" s="385"/>
      <c r="J243" s="385"/>
      <c r="K243" s="385"/>
      <c r="L243" s="385"/>
      <c r="M243" s="385"/>
      <c r="N243" s="385"/>
      <c r="O243" s="385"/>
    </row>
    <row r="244" spans="1:15" ht="15" customHeight="1" x14ac:dyDescent="0.25">
      <c r="B244" s="389"/>
      <c r="C244" s="384"/>
      <c r="F244" s="385"/>
      <c r="G244" s="385"/>
      <c r="H244" s="385"/>
      <c r="I244" s="385"/>
      <c r="J244" s="385"/>
      <c r="K244" s="385"/>
      <c r="L244" s="385"/>
      <c r="M244" s="385"/>
      <c r="N244" s="385"/>
      <c r="O244" s="385"/>
    </row>
    <row r="245" spans="1:15" ht="15" customHeight="1" x14ac:dyDescent="0.25">
      <c r="C245" s="390"/>
      <c r="F245" s="385"/>
      <c r="G245" s="385"/>
      <c r="H245" s="385"/>
      <c r="I245" s="385"/>
      <c r="J245" s="385"/>
      <c r="K245" s="385"/>
      <c r="L245" s="385"/>
      <c r="M245" s="385"/>
      <c r="N245" s="385"/>
      <c r="O245" s="385"/>
    </row>
    <row r="246" spans="1:15" ht="15" customHeight="1" x14ac:dyDescent="0.25">
      <c r="F246" s="385"/>
      <c r="G246" s="385"/>
      <c r="H246" s="385"/>
      <c r="I246" s="385"/>
      <c r="J246" s="385"/>
      <c r="K246" s="385"/>
      <c r="L246" s="385"/>
      <c r="M246" s="385"/>
      <c r="N246" s="385"/>
      <c r="O246" s="385"/>
    </row>
    <row r="247" spans="1:15" ht="15" customHeight="1" x14ac:dyDescent="0.25">
      <c r="H247" s="385"/>
      <c r="I247" s="385"/>
      <c r="J247" s="385"/>
      <c r="K247" s="385"/>
      <c r="L247" s="385"/>
      <c r="M247" s="385"/>
      <c r="N247" s="385"/>
      <c r="O247" s="385"/>
    </row>
    <row r="248" spans="1:15" ht="15" customHeight="1" x14ac:dyDescent="0.25">
      <c r="M248" s="391"/>
      <c r="N248" s="391"/>
      <c r="O248" s="391"/>
    </row>
    <row r="249" spans="1:15" ht="15" customHeight="1" x14ac:dyDescent="0.25"/>
    <row r="250" spans="1:15" ht="15" customHeight="1" x14ac:dyDescent="0.25">
      <c r="A250" s="381"/>
      <c r="C250" s="381"/>
      <c r="D250" s="382"/>
    </row>
    <row r="251" spans="1:15" ht="15" customHeight="1" x14ac:dyDescent="0.25">
      <c r="B251" s="386"/>
      <c r="C251" s="384"/>
      <c r="D251" s="380"/>
      <c r="F251" s="385"/>
      <c r="G251" s="385"/>
    </row>
    <row r="252" spans="1:15" ht="15" customHeight="1" x14ac:dyDescent="0.25">
      <c r="B252" s="386"/>
      <c r="C252" s="384"/>
      <c r="D252" s="380"/>
      <c r="E252" s="380"/>
      <c r="F252" s="387"/>
      <c r="G252" s="387"/>
      <c r="H252" s="385"/>
      <c r="I252" s="385"/>
      <c r="J252" s="385"/>
      <c r="K252" s="385"/>
      <c r="L252" s="385"/>
      <c r="M252" s="385"/>
      <c r="N252" s="385"/>
      <c r="O252" s="385"/>
    </row>
    <row r="253" spans="1:15" ht="15" customHeight="1" x14ac:dyDescent="0.25">
      <c r="B253" s="386"/>
      <c r="C253" s="384"/>
      <c r="F253" s="385"/>
      <c r="G253" s="385"/>
      <c r="H253" s="387"/>
      <c r="I253" s="387"/>
      <c r="J253" s="387"/>
      <c r="K253" s="387"/>
      <c r="L253" s="387"/>
      <c r="M253" s="387"/>
      <c r="N253" s="387"/>
      <c r="O253" s="387"/>
    </row>
    <row r="254" spans="1:15" ht="15" customHeight="1" x14ac:dyDescent="0.25">
      <c r="B254" s="386"/>
      <c r="C254" s="384"/>
      <c r="F254" s="385"/>
      <c r="G254" s="385"/>
      <c r="H254" s="385"/>
      <c r="I254" s="385"/>
      <c r="J254" s="385"/>
      <c r="K254" s="385"/>
      <c r="L254" s="385"/>
      <c r="M254" s="385"/>
      <c r="N254" s="385"/>
      <c r="O254" s="385"/>
    </row>
    <row r="255" spans="1:15" ht="15" customHeight="1" x14ac:dyDescent="0.25">
      <c r="B255" s="386"/>
      <c r="C255" s="384"/>
      <c r="F255" s="385"/>
      <c r="G255" s="385"/>
      <c r="H255" s="385"/>
      <c r="I255" s="385"/>
      <c r="J255" s="385"/>
      <c r="K255" s="385"/>
      <c r="L255" s="385"/>
      <c r="M255" s="385"/>
      <c r="N255" s="385"/>
      <c r="O255" s="385"/>
    </row>
    <row r="256" spans="1:15" ht="15" customHeight="1" x14ac:dyDescent="0.25">
      <c r="B256" s="386"/>
      <c r="C256" s="384"/>
      <c r="F256" s="385"/>
      <c r="G256" s="385"/>
      <c r="H256" s="385"/>
      <c r="I256" s="385"/>
      <c r="J256" s="385"/>
      <c r="K256" s="385"/>
      <c r="L256" s="385"/>
      <c r="M256" s="385"/>
      <c r="N256" s="385"/>
      <c r="O256" s="385"/>
    </row>
    <row r="257" spans="2:15" ht="15" customHeight="1" x14ac:dyDescent="0.25">
      <c r="B257" s="388"/>
      <c r="C257" s="384"/>
      <c r="F257" s="385"/>
      <c r="G257" s="385"/>
      <c r="H257" s="385"/>
      <c r="I257" s="385"/>
      <c r="J257" s="385"/>
      <c r="K257" s="385"/>
      <c r="L257" s="385"/>
      <c r="M257" s="385"/>
      <c r="N257" s="385"/>
      <c r="O257" s="385"/>
    </row>
    <row r="258" spans="2:15" ht="15" customHeight="1" x14ac:dyDescent="0.25">
      <c r="C258" s="384"/>
      <c r="F258" s="385"/>
      <c r="G258" s="385"/>
      <c r="H258" s="385"/>
      <c r="I258" s="385"/>
      <c r="J258" s="385"/>
      <c r="K258" s="385"/>
      <c r="L258" s="385"/>
      <c r="M258" s="385"/>
      <c r="N258" s="385"/>
      <c r="O258" s="385"/>
    </row>
    <row r="259" spans="2:15" ht="15" customHeight="1" x14ac:dyDescent="0.25">
      <c r="B259" s="386"/>
      <c r="C259" s="384"/>
      <c r="F259" s="385"/>
      <c r="G259" s="385"/>
      <c r="H259" s="385"/>
      <c r="I259" s="385"/>
      <c r="J259" s="385"/>
      <c r="K259" s="385"/>
      <c r="L259" s="385"/>
      <c r="M259" s="385"/>
      <c r="N259" s="385"/>
      <c r="O259" s="385"/>
    </row>
    <row r="260" spans="2:15" ht="15" customHeight="1" x14ac:dyDescent="0.25">
      <c r="B260" s="386"/>
      <c r="C260" s="384"/>
      <c r="F260" s="385"/>
      <c r="G260" s="385"/>
      <c r="H260" s="385"/>
      <c r="I260" s="385"/>
      <c r="J260" s="385"/>
      <c r="K260" s="385"/>
      <c r="L260" s="385"/>
      <c r="M260" s="385"/>
      <c r="N260" s="385"/>
      <c r="O260" s="385"/>
    </row>
    <row r="261" spans="2:15" ht="15" customHeight="1" x14ac:dyDescent="0.25">
      <c r="B261" s="386"/>
      <c r="C261" s="384"/>
      <c r="F261" s="385"/>
      <c r="G261" s="385"/>
      <c r="H261" s="385"/>
      <c r="I261" s="385"/>
      <c r="J261" s="385"/>
      <c r="K261" s="385"/>
      <c r="L261" s="385"/>
      <c r="M261" s="385"/>
      <c r="N261" s="385"/>
      <c r="O261" s="385"/>
    </row>
    <row r="262" spans="2:15" ht="15" customHeight="1" x14ac:dyDescent="0.25">
      <c r="B262" s="386"/>
      <c r="C262" s="384"/>
      <c r="F262" s="385"/>
      <c r="G262" s="385"/>
      <c r="H262" s="385"/>
      <c r="I262" s="385"/>
      <c r="J262" s="385"/>
      <c r="K262" s="385"/>
      <c r="L262" s="385"/>
      <c r="M262" s="385"/>
      <c r="N262" s="385"/>
      <c r="O262" s="385"/>
    </row>
    <row r="263" spans="2:15" ht="15" customHeight="1" x14ac:dyDescent="0.25">
      <c r="C263" s="384"/>
      <c r="F263" s="385"/>
      <c r="G263" s="385"/>
      <c r="H263" s="385"/>
      <c r="I263" s="385"/>
      <c r="J263" s="385"/>
      <c r="K263" s="385"/>
      <c r="L263" s="385"/>
      <c r="M263" s="385"/>
      <c r="N263" s="385"/>
      <c r="O263" s="385"/>
    </row>
    <row r="264" spans="2:15" ht="15" customHeight="1" x14ac:dyDescent="0.25">
      <c r="B264" s="386"/>
      <c r="C264" s="384"/>
      <c r="F264" s="385"/>
      <c r="G264" s="385"/>
      <c r="H264" s="385"/>
      <c r="I264" s="385"/>
      <c r="J264" s="385"/>
      <c r="K264" s="385"/>
      <c r="L264" s="385"/>
      <c r="M264" s="385"/>
      <c r="N264" s="385"/>
      <c r="O264" s="385"/>
    </row>
    <row r="265" spans="2:15" ht="15" customHeight="1" x14ac:dyDescent="0.25">
      <c r="B265" s="386"/>
      <c r="C265" s="384"/>
      <c r="F265" s="385"/>
      <c r="G265" s="385"/>
      <c r="H265" s="385"/>
      <c r="I265" s="385"/>
      <c r="J265" s="385"/>
      <c r="K265" s="385"/>
      <c r="L265" s="385"/>
      <c r="M265" s="385"/>
      <c r="N265" s="385"/>
      <c r="O265" s="385"/>
    </row>
    <row r="266" spans="2:15" ht="15" customHeight="1" x14ac:dyDescent="0.25">
      <c r="B266" s="386"/>
      <c r="C266" s="384"/>
      <c r="F266" s="385"/>
      <c r="G266" s="385"/>
      <c r="H266" s="385"/>
      <c r="I266" s="385"/>
      <c r="J266" s="385"/>
      <c r="K266" s="385"/>
      <c r="L266" s="385"/>
      <c r="M266" s="385"/>
      <c r="N266" s="385"/>
      <c r="O266" s="385"/>
    </row>
    <row r="267" spans="2:15" ht="15" customHeight="1" x14ac:dyDescent="0.25">
      <c r="B267" s="388"/>
      <c r="C267" s="384"/>
      <c r="F267" s="385"/>
      <c r="G267" s="385"/>
      <c r="H267" s="385"/>
      <c r="I267" s="385"/>
      <c r="J267" s="385"/>
      <c r="K267" s="385"/>
      <c r="L267" s="385"/>
      <c r="M267" s="385"/>
      <c r="N267" s="385"/>
      <c r="O267" s="385"/>
    </row>
    <row r="268" spans="2:15" ht="15" customHeight="1" x14ac:dyDescent="0.25">
      <c r="B268" s="386"/>
      <c r="C268" s="384"/>
      <c r="F268" s="385"/>
      <c r="G268" s="385"/>
      <c r="H268" s="385"/>
      <c r="I268" s="385"/>
      <c r="J268" s="385"/>
      <c r="K268" s="385"/>
      <c r="L268" s="385"/>
      <c r="M268" s="385"/>
      <c r="N268" s="385"/>
      <c r="O268" s="385"/>
    </row>
    <row r="269" spans="2:15" ht="15" customHeight="1" x14ac:dyDescent="0.25">
      <c r="B269" s="386"/>
      <c r="C269" s="384"/>
      <c r="F269" s="385"/>
      <c r="G269" s="385"/>
      <c r="H269" s="385"/>
      <c r="I269" s="385"/>
      <c r="J269" s="385"/>
      <c r="K269" s="385"/>
      <c r="L269" s="385"/>
      <c r="M269" s="385"/>
      <c r="N269" s="385"/>
      <c r="O269" s="385"/>
    </row>
    <row r="270" spans="2:15" ht="15" customHeight="1" x14ac:dyDescent="0.25">
      <c r="B270" s="386"/>
      <c r="C270" s="384"/>
      <c r="F270" s="385"/>
      <c r="G270" s="385"/>
      <c r="H270" s="385"/>
      <c r="I270" s="385"/>
      <c r="J270" s="385"/>
      <c r="K270" s="385"/>
      <c r="L270" s="385"/>
      <c r="M270" s="385"/>
      <c r="N270" s="385"/>
      <c r="O270" s="385"/>
    </row>
    <row r="271" spans="2:15" ht="15" customHeight="1" x14ac:dyDescent="0.25">
      <c r="B271" s="386"/>
      <c r="C271" s="384"/>
      <c r="F271" s="385"/>
      <c r="G271" s="385"/>
      <c r="H271" s="385"/>
      <c r="I271" s="385"/>
      <c r="J271" s="385"/>
      <c r="K271" s="385"/>
      <c r="L271" s="385"/>
      <c r="M271" s="385"/>
      <c r="N271" s="385"/>
      <c r="O271" s="385"/>
    </row>
    <row r="272" spans="2:15" ht="15" customHeight="1" x14ac:dyDescent="0.25">
      <c r="B272" s="386"/>
      <c r="C272" s="384"/>
      <c r="F272" s="385"/>
      <c r="G272" s="385"/>
      <c r="H272" s="385"/>
      <c r="I272" s="385"/>
      <c r="J272" s="385"/>
      <c r="K272" s="385"/>
      <c r="L272" s="385"/>
      <c r="M272" s="385"/>
      <c r="N272" s="385"/>
      <c r="O272" s="385"/>
    </row>
    <row r="273" spans="2:15" ht="15" customHeight="1" x14ac:dyDescent="0.25">
      <c r="B273" s="386"/>
      <c r="C273" s="384"/>
      <c r="F273" s="385"/>
      <c r="G273" s="385"/>
      <c r="H273" s="385"/>
      <c r="I273" s="385"/>
      <c r="J273" s="385"/>
      <c r="K273" s="385"/>
      <c r="L273" s="385"/>
      <c r="M273" s="385"/>
      <c r="N273" s="385"/>
      <c r="O273" s="385"/>
    </row>
    <row r="274" spans="2:15" ht="15" customHeight="1" x14ac:dyDescent="0.25">
      <c r="B274" s="386"/>
      <c r="C274" s="384"/>
      <c r="F274" s="385"/>
      <c r="G274" s="385"/>
      <c r="H274" s="385"/>
      <c r="I274" s="385"/>
      <c r="J274" s="385"/>
      <c r="K274" s="385"/>
      <c r="L274" s="385"/>
      <c r="M274" s="385"/>
      <c r="N274" s="385"/>
      <c r="O274" s="385"/>
    </row>
    <row r="275" spans="2:15" ht="15" customHeight="1" x14ac:dyDescent="0.25">
      <c r="B275" s="386"/>
      <c r="C275" s="384"/>
      <c r="F275" s="385"/>
      <c r="G275" s="385"/>
      <c r="H275" s="385"/>
      <c r="I275" s="385"/>
      <c r="J275" s="385"/>
      <c r="K275" s="385"/>
      <c r="L275" s="385"/>
      <c r="M275" s="385"/>
      <c r="N275" s="385"/>
      <c r="O275" s="385"/>
    </row>
    <row r="276" spans="2:15" ht="15" customHeight="1" x14ac:dyDescent="0.25">
      <c r="B276" s="389"/>
      <c r="C276" s="384"/>
      <c r="F276" s="385"/>
      <c r="G276" s="385"/>
      <c r="H276" s="385"/>
      <c r="I276" s="385"/>
      <c r="J276" s="385"/>
      <c r="K276" s="385"/>
      <c r="L276" s="385"/>
      <c r="M276" s="385"/>
      <c r="N276" s="385"/>
      <c r="O276" s="385"/>
    </row>
    <row r="277" spans="2:15" ht="15" customHeight="1" x14ac:dyDescent="0.25">
      <c r="C277" s="384"/>
      <c r="F277" s="385"/>
      <c r="G277" s="385"/>
      <c r="H277" s="385"/>
      <c r="I277" s="385"/>
      <c r="J277" s="385"/>
      <c r="K277" s="385"/>
      <c r="L277" s="385"/>
      <c r="M277" s="385"/>
      <c r="N277" s="385"/>
      <c r="O277" s="385"/>
    </row>
    <row r="278" spans="2:15" ht="15" customHeight="1" x14ac:dyDescent="0.25">
      <c r="B278" s="389"/>
      <c r="C278" s="384"/>
      <c r="F278" s="385"/>
      <c r="G278" s="385"/>
      <c r="H278" s="385"/>
      <c r="I278" s="385"/>
      <c r="J278" s="385"/>
      <c r="K278" s="385"/>
      <c r="L278" s="385"/>
      <c r="M278" s="385"/>
      <c r="N278" s="385"/>
      <c r="O278" s="385"/>
    </row>
    <row r="279" spans="2:15" ht="15" customHeight="1" x14ac:dyDescent="0.25">
      <c r="C279" s="384"/>
      <c r="F279" s="385"/>
      <c r="G279" s="385"/>
      <c r="H279" s="385"/>
      <c r="I279" s="385"/>
      <c r="J279" s="385"/>
      <c r="K279" s="385"/>
      <c r="L279" s="385"/>
      <c r="M279" s="385"/>
      <c r="N279" s="385"/>
      <c r="O279" s="385"/>
    </row>
    <row r="280" spans="2:15" ht="15" customHeight="1" x14ac:dyDescent="0.25">
      <c r="B280" s="386"/>
      <c r="C280" s="384"/>
      <c r="F280" s="385"/>
      <c r="G280" s="385"/>
      <c r="H280" s="385"/>
      <c r="I280" s="385"/>
      <c r="J280" s="385"/>
      <c r="K280" s="385"/>
      <c r="L280" s="385"/>
      <c r="M280" s="385"/>
      <c r="N280" s="385"/>
      <c r="O280" s="385"/>
    </row>
    <row r="281" spans="2:15" ht="15" customHeight="1" x14ac:dyDescent="0.25">
      <c r="B281" s="386"/>
      <c r="C281" s="384"/>
      <c r="F281" s="385"/>
      <c r="G281" s="385"/>
      <c r="H281" s="385"/>
      <c r="I281" s="385"/>
      <c r="J281" s="385"/>
      <c r="K281" s="385"/>
      <c r="L281" s="385"/>
      <c r="M281" s="385"/>
      <c r="N281" s="385"/>
      <c r="O281" s="385"/>
    </row>
    <row r="282" spans="2:15" ht="15" customHeight="1" x14ac:dyDescent="0.25">
      <c r="B282" s="386"/>
      <c r="C282" s="384"/>
      <c r="F282" s="385"/>
      <c r="G282" s="385"/>
      <c r="H282" s="385"/>
      <c r="I282" s="385"/>
      <c r="J282" s="385"/>
      <c r="K282" s="385"/>
      <c r="L282" s="385"/>
      <c r="M282" s="385"/>
      <c r="N282" s="385"/>
      <c r="O282" s="385"/>
    </row>
    <row r="283" spans="2:15" ht="15" customHeight="1" x14ac:dyDescent="0.25">
      <c r="B283" s="389"/>
      <c r="C283" s="384"/>
      <c r="F283" s="385"/>
      <c r="G283" s="385"/>
      <c r="H283" s="385"/>
      <c r="I283" s="385"/>
      <c r="J283" s="385"/>
      <c r="K283" s="385"/>
      <c r="L283" s="385"/>
      <c r="M283" s="385"/>
      <c r="N283" s="385"/>
      <c r="O283" s="385"/>
    </row>
    <row r="284" spans="2:15" ht="15" customHeight="1" x14ac:dyDescent="0.25">
      <c r="C284" s="384"/>
      <c r="F284" s="385"/>
      <c r="G284" s="385"/>
      <c r="H284" s="385"/>
      <c r="I284" s="385"/>
      <c r="J284" s="385"/>
      <c r="K284" s="385"/>
      <c r="L284" s="385"/>
      <c r="M284" s="385"/>
      <c r="N284" s="385"/>
      <c r="O284" s="385"/>
    </row>
    <row r="285" spans="2:15" ht="15" customHeight="1" x14ac:dyDescent="0.25">
      <c r="B285" s="386"/>
      <c r="C285" s="384"/>
      <c r="F285" s="385"/>
      <c r="G285" s="385"/>
      <c r="H285" s="385"/>
      <c r="I285" s="385"/>
      <c r="J285" s="385"/>
      <c r="K285" s="385"/>
      <c r="L285" s="385"/>
      <c r="M285" s="385"/>
      <c r="N285" s="385"/>
      <c r="O285" s="385"/>
    </row>
    <row r="286" spans="2:15" ht="15" customHeight="1" x14ac:dyDescent="0.25">
      <c r="B286" s="386"/>
      <c r="C286" s="384"/>
      <c r="F286" s="385"/>
      <c r="G286" s="385"/>
      <c r="H286" s="385"/>
      <c r="I286" s="385"/>
      <c r="J286" s="385"/>
      <c r="K286" s="385"/>
      <c r="L286" s="385"/>
      <c r="M286" s="385"/>
      <c r="N286" s="385"/>
      <c r="O286" s="385"/>
    </row>
    <row r="287" spans="2:15" ht="15" customHeight="1" x14ac:dyDescent="0.25">
      <c r="B287" s="389"/>
      <c r="C287" s="384"/>
      <c r="F287" s="385"/>
      <c r="G287" s="385"/>
      <c r="H287" s="385"/>
      <c r="I287" s="385"/>
      <c r="J287" s="385"/>
      <c r="K287" s="385"/>
      <c r="L287" s="385"/>
      <c r="M287" s="385"/>
      <c r="N287" s="385"/>
      <c r="O287" s="385"/>
    </row>
    <row r="288" spans="2:15" ht="15" customHeight="1" x14ac:dyDescent="0.25">
      <c r="C288" s="384"/>
      <c r="F288" s="385"/>
      <c r="G288" s="385"/>
      <c r="H288" s="385"/>
      <c r="I288" s="385"/>
      <c r="J288" s="385"/>
      <c r="K288" s="385"/>
      <c r="L288" s="385"/>
      <c r="M288" s="385"/>
      <c r="N288" s="385"/>
      <c r="O288" s="385"/>
    </row>
    <row r="289" spans="2:16" ht="15" customHeight="1" x14ac:dyDescent="0.25">
      <c r="B289" s="388"/>
      <c r="C289" s="390"/>
      <c r="F289" s="385"/>
      <c r="G289" s="385"/>
      <c r="H289" s="385"/>
      <c r="I289" s="385"/>
      <c r="J289" s="385"/>
      <c r="K289" s="385"/>
      <c r="L289" s="385"/>
      <c r="M289" s="385"/>
      <c r="N289" s="385"/>
      <c r="O289" s="385"/>
    </row>
    <row r="290" spans="2:16" ht="15" customHeight="1" x14ac:dyDescent="0.25">
      <c r="B290" s="389"/>
      <c r="C290" s="384"/>
      <c r="F290" s="385"/>
      <c r="G290" s="385"/>
      <c r="H290" s="385"/>
      <c r="I290" s="385"/>
      <c r="J290" s="385"/>
      <c r="K290" s="385"/>
      <c r="L290" s="385"/>
      <c r="M290" s="385"/>
      <c r="N290" s="385"/>
      <c r="O290" s="385"/>
    </row>
    <row r="291" spans="2:16" ht="15" customHeight="1" x14ac:dyDescent="0.25">
      <c r="B291" s="389"/>
      <c r="C291" s="384"/>
      <c r="F291" s="385"/>
      <c r="G291" s="385"/>
      <c r="H291" s="385"/>
      <c r="I291" s="385"/>
      <c r="J291" s="385"/>
      <c r="K291" s="385"/>
      <c r="L291" s="385"/>
      <c r="M291" s="385"/>
      <c r="N291" s="385"/>
      <c r="O291" s="385"/>
    </row>
    <row r="292" spans="2:16" ht="15" customHeight="1" x14ac:dyDescent="0.25">
      <c r="C292" s="390"/>
      <c r="F292" s="385"/>
      <c r="G292" s="385"/>
      <c r="H292" s="385"/>
      <c r="I292" s="385"/>
      <c r="J292" s="385"/>
      <c r="K292" s="385"/>
      <c r="L292" s="385"/>
      <c r="M292" s="385"/>
      <c r="N292" s="385"/>
      <c r="O292" s="385"/>
    </row>
    <row r="293" spans="2:16" ht="15" customHeight="1" x14ac:dyDescent="0.25">
      <c r="F293" s="385"/>
      <c r="G293" s="385"/>
      <c r="H293" s="385"/>
      <c r="I293" s="385"/>
      <c r="J293" s="385"/>
      <c r="K293" s="385"/>
      <c r="L293" s="385"/>
      <c r="M293" s="385"/>
      <c r="N293" s="385"/>
      <c r="O293" s="385"/>
    </row>
    <row r="294" spans="2:16" ht="15" customHeight="1" x14ac:dyDescent="0.25">
      <c r="H294" s="385"/>
      <c r="I294" s="385"/>
      <c r="J294" s="385"/>
      <c r="K294" s="385"/>
      <c r="L294" s="385"/>
      <c r="M294" s="385"/>
      <c r="N294" s="385"/>
      <c r="O294" s="385"/>
    </row>
    <row r="295" spans="2:16" ht="15" customHeight="1" x14ac:dyDescent="0.25">
      <c r="M295" s="391"/>
      <c r="N295" s="391"/>
      <c r="O295" s="391"/>
      <c r="P295" s="392"/>
    </row>
    <row r="296" spans="2:16" ht="15" customHeight="1" x14ac:dyDescent="0.25">
      <c r="M296" s="391"/>
      <c r="N296" s="391"/>
      <c r="O296" s="391"/>
      <c r="P296" s="392"/>
    </row>
    <row r="297" spans="2:16" ht="15" customHeight="1" x14ac:dyDescent="0.25">
      <c r="M297" s="391"/>
      <c r="N297" s="391"/>
      <c r="O297" s="391"/>
      <c r="P297" s="392"/>
    </row>
    <row r="298" spans="2:16" ht="15" customHeight="1" x14ac:dyDescent="0.25">
      <c r="M298" s="391"/>
      <c r="N298" s="391"/>
      <c r="O298" s="391"/>
      <c r="P298" s="392"/>
    </row>
    <row r="299" spans="2:16" ht="15" customHeight="1" x14ac:dyDescent="0.25">
      <c r="M299" s="391"/>
      <c r="N299" s="391"/>
      <c r="O299" s="391"/>
      <c r="P299" s="392"/>
    </row>
    <row r="300" spans="2:16" ht="15" customHeight="1" x14ac:dyDescent="0.25">
      <c r="M300" s="391"/>
      <c r="N300" s="391"/>
      <c r="O300" s="391"/>
    </row>
    <row r="301" spans="2:16" ht="15" customHeight="1" x14ac:dyDescent="0.25"/>
    <row r="302" spans="2:16" ht="15" customHeight="1" x14ac:dyDescent="0.25"/>
    <row r="303" spans="2:16" ht="15" customHeight="1" x14ac:dyDescent="0.25"/>
    <row r="304" spans="2:16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</sheetData>
  <protectedRanges>
    <protectedRange sqref="K14:L34" name="Range1_1"/>
  </protectedRanges>
  <mergeCells count="11">
    <mergeCell ref="A13:D13"/>
    <mergeCell ref="F13:G13"/>
    <mergeCell ref="A4:G4"/>
    <mergeCell ref="A5:G5"/>
    <mergeCell ref="A6:G6"/>
    <mergeCell ref="A8:A9"/>
    <mergeCell ref="B8:B9"/>
    <mergeCell ref="C8:C9"/>
    <mergeCell ref="D8:D9"/>
    <mergeCell ref="F8:F9"/>
    <mergeCell ref="G8:G9"/>
  </mergeCells>
  <pageMargins left="0.7" right="0.7" top="0.75" bottom="0.75" header="0.3" footer="0.3"/>
  <pageSetup paperSize="9" scale="72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FF00"/>
    <pageSetUpPr fitToPage="1"/>
  </sheetPr>
  <dimension ref="A1:N311"/>
  <sheetViews>
    <sheetView view="pageBreakPreview" topLeftCell="A9" zoomScale="80" zoomScaleNormal="70" zoomScaleSheetLayoutView="80" workbookViewId="0">
      <selection activeCell="D23" sqref="D23"/>
    </sheetView>
  </sheetViews>
  <sheetFormatPr defaultColWidth="10.7109375" defaultRowHeight="12.75" x14ac:dyDescent="0.25"/>
  <cols>
    <col min="1" max="1" width="10.7109375" style="360" customWidth="1"/>
    <col min="2" max="2" width="38" style="360" customWidth="1"/>
    <col min="3" max="3" width="8.42578125" style="374" customWidth="1"/>
    <col min="4" max="4" width="15.7109375" style="785" customWidth="1"/>
    <col min="5" max="5" width="15.7109375" style="375" customWidth="1"/>
    <col min="6" max="6" width="17.85546875" style="375" customWidth="1"/>
    <col min="7" max="7" width="31.85546875" style="360" hidden="1" customWidth="1"/>
    <col min="8" max="8" width="33.28515625" style="373" customWidth="1"/>
    <col min="9" max="253" width="10.7109375" style="360"/>
    <col min="254" max="254" width="13.140625" style="360" customWidth="1"/>
    <col min="255" max="255" width="38" style="360" customWidth="1"/>
    <col min="256" max="256" width="8.42578125" style="360" customWidth="1"/>
    <col min="257" max="257" width="15.7109375" style="360" customWidth="1"/>
    <col min="258" max="258" width="18.28515625" style="360" customWidth="1"/>
    <col min="259" max="259" width="17.85546875" style="360" customWidth="1"/>
    <col min="260" max="260" width="0" style="360" hidden="1" customWidth="1"/>
    <col min="261" max="261" width="33.28515625" style="360" customWidth="1"/>
    <col min="262" max="509" width="10.7109375" style="360"/>
    <col min="510" max="510" width="13.140625" style="360" customWidth="1"/>
    <col min="511" max="511" width="38" style="360" customWidth="1"/>
    <col min="512" max="512" width="8.42578125" style="360" customWidth="1"/>
    <col min="513" max="513" width="15.7109375" style="360" customWidth="1"/>
    <col min="514" max="514" width="18.28515625" style="360" customWidth="1"/>
    <col min="515" max="515" width="17.85546875" style="360" customWidth="1"/>
    <col min="516" max="516" width="0" style="360" hidden="1" customWidth="1"/>
    <col min="517" max="517" width="33.28515625" style="360" customWidth="1"/>
    <col min="518" max="765" width="10.7109375" style="360"/>
    <col min="766" max="766" width="13.140625" style="360" customWidth="1"/>
    <col min="767" max="767" width="38" style="360" customWidth="1"/>
    <col min="768" max="768" width="8.42578125" style="360" customWidth="1"/>
    <col min="769" max="769" width="15.7109375" style="360" customWidth="1"/>
    <col min="770" max="770" width="18.28515625" style="360" customWidth="1"/>
    <col min="771" max="771" width="17.85546875" style="360" customWidth="1"/>
    <col min="772" max="772" width="0" style="360" hidden="1" customWidth="1"/>
    <col min="773" max="773" width="33.28515625" style="360" customWidth="1"/>
    <col min="774" max="1021" width="10.7109375" style="360"/>
    <col min="1022" max="1022" width="13.140625" style="360" customWidth="1"/>
    <col min="1023" max="1023" width="38" style="360" customWidth="1"/>
    <col min="1024" max="1024" width="8.42578125" style="360" customWidth="1"/>
    <col min="1025" max="1025" width="15.7109375" style="360" customWidth="1"/>
    <col min="1026" max="1026" width="18.28515625" style="360" customWidth="1"/>
    <col min="1027" max="1027" width="17.85546875" style="360" customWidth="1"/>
    <col min="1028" max="1028" width="0" style="360" hidden="1" customWidth="1"/>
    <col min="1029" max="1029" width="33.28515625" style="360" customWidth="1"/>
    <col min="1030" max="1277" width="10.7109375" style="360"/>
    <col min="1278" max="1278" width="13.140625" style="360" customWidth="1"/>
    <col min="1279" max="1279" width="38" style="360" customWidth="1"/>
    <col min="1280" max="1280" width="8.42578125" style="360" customWidth="1"/>
    <col min="1281" max="1281" width="15.7109375" style="360" customWidth="1"/>
    <col min="1282" max="1282" width="18.28515625" style="360" customWidth="1"/>
    <col min="1283" max="1283" width="17.85546875" style="360" customWidth="1"/>
    <col min="1284" max="1284" width="0" style="360" hidden="1" customWidth="1"/>
    <col min="1285" max="1285" width="33.28515625" style="360" customWidth="1"/>
    <col min="1286" max="1533" width="10.7109375" style="360"/>
    <col min="1534" max="1534" width="13.140625" style="360" customWidth="1"/>
    <col min="1535" max="1535" width="38" style="360" customWidth="1"/>
    <col min="1536" max="1536" width="8.42578125" style="360" customWidth="1"/>
    <col min="1537" max="1537" width="15.7109375" style="360" customWidth="1"/>
    <col min="1538" max="1538" width="18.28515625" style="360" customWidth="1"/>
    <col min="1539" max="1539" width="17.85546875" style="360" customWidth="1"/>
    <col min="1540" max="1540" width="0" style="360" hidden="1" customWidth="1"/>
    <col min="1541" max="1541" width="33.28515625" style="360" customWidth="1"/>
    <col min="1542" max="1789" width="10.7109375" style="360"/>
    <col min="1790" max="1790" width="13.140625" style="360" customWidth="1"/>
    <col min="1791" max="1791" width="38" style="360" customWidth="1"/>
    <col min="1792" max="1792" width="8.42578125" style="360" customWidth="1"/>
    <col min="1793" max="1793" width="15.7109375" style="360" customWidth="1"/>
    <col min="1794" max="1794" width="18.28515625" style="360" customWidth="1"/>
    <col min="1795" max="1795" width="17.85546875" style="360" customWidth="1"/>
    <col min="1796" max="1796" width="0" style="360" hidden="1" customWidth="1"/>
    <col min="1797" max="1797" width="33.28515625" style="360" customWidth="1"/>
    <col min="1798" max="2045" width="10.7109375" style="360"/>
    <col min="2046" max="2046" width="13.140625" style="360" customWidth="1"/>
    <col min="2047" max="2047" width="38" style="360" customWidth="1"/>
    <col min="2048" max="2048" width="8.42578125" style="360" customWidth="1"/>
    <col min="2049" max="2049" width="15.7109375" style="360" customWidth="1"/>
    <col min="2050" max="2050" width="18.28515625" style="360" customWidth="1"/>
    <col min="2051" max="2051" width="17.85546875" style="360" customWidth="1"/>
    <col min="2052" max="2052" width="0" style="360" hidden="1" customWidth="1"/>
    <col min="2053" max="2053" width="33.28515625" style="360" customWidth="1"/>
    <col min="2054" max="2301" width="10.7109375" style="360"/>
    <col min="2302" max="2302" width="13.140625" style="360" customWidth="1"/>
    <col min="2303" max="2303" width="38" style="360" customWidth="1"/>
    <col min="2304" max="2304" width="8.42578125" style="360" customWidth="1"/>
    <col min="2305" max="2305" width="15.7109375" style="360" customWidth="1"/>
    <col min="2306" max="2306" width="18.28515625" style="360" customWidth="1"/>
    <col min="2307" max="2307" width="17.85546875" style="360" customWidth="1"/>
    <col min="2308" max="2308" width="0" style="360" hidden="1" customWidth="1"/>
    <col min="2309" max="2309" width="33.28515625" style="360" customWidth="1"/>
    <col min="2310" max="2557" width="10.7109375" style="360"/>
    <col min="2558" max="2558" width="13.140625" style="360" customWidth="1"/>
    <col min="2559" max="2559" width="38" style="360" customWidth="1"/>
    <col min="2560" max="2560" width="8.42578125" style="360" customWidth="1"/>
    <col min="2561" max="2561" width="15.7109375" style="360" customWidth="1"/>
    <col min="2562" max="2562" width="18.28515625" style="360" customWidth="1"/>
    <col min="2563" max="2563" width="17.85546875" style="360" customWidth="1"/>
    <col min="2564" max="2564" width="0" style="360" hidden="1" customWidth="1"/>
    <col min="2565" max="2565" width="33.28515625" style="360" customWidth="1"/>
    <col min="2566" max="2813" width="10.7109375" style="360"/>
    <col min="2814" max="2814" width="13.140625" style="360" customWidth="1"/>
    <col min="2815" max="2815" width="38" style="360" customWidth="1"/>
    <col min="2816" max="2816" width="8.42578125" style="360" customWidth="1"/>
    <col min="2817" max="2817" width="15.7109375" style="360" customWidth="1"/>
    <col min="2818" max="2818" width="18.28515625" style="360" customWidth="1"/>
    <col min="2819" max="2819" width="17.85546875" style="360" customWidth="1"/>
    <col min="2820" max="2820" width="0" style="360" hidden="1" customWidth="1"/>
    <col min="2821" max="2821" width="33.28515625" style="360" customWidth="1"/>
    <col min="2822" max="3069" width="10.7109375" style="360"/>
    <col min="3070" max="3070" width="13.140625" style="360" customWidth="1"/>
    <col min="3071" max="3071" width="38" style="360" customWidth="1"/>
    <col min="3072" max="3072" width="8.42578125" style="360" customWidth="1"/>
    <col min="3073" max="3073" width="15.7109375" style="360" customWidth="1"/>
    <col min="3074" max="3074" width="18.28515625" style="360" customWidth="1"/>
    <col min="3075" max="3075" width="17.85546875" style="360" customWidth="1"/>
    <col min="3076" max="3076" width="0" style="360" hidden="1" customWidth="1"/>
    <col min="3077" max="3077" width="33.28515625" style="360" customWidth="1"/>
    <col min="3078" max="3325" width="10.7109375" style="360"/>
    <col min="3326" max="3326" width="13.140625" style="360" customWidth="1"/>
    <col min="3327" max="3327" width="38" style="360" customWidth="1"/>
    <col min="3328" max="3328" width="8.42578125" style="360" customWidth="1"/>
    <col min="3329" max="3329" width="15.7109375" style="360" customWidth="1"/>
    <col min="3330" max="3330" width="18.28515625" style="360" customWidth="1"/>
    <col min="3331" max="3331" width="17.85546875" style="360" customWidth="1"/>
    <col min="3332" max="3332" width="0" style="360" hidden="1" customWidth="1"/>
    <col min="3333" max="3333" width="33.28515625" style="360" customWidth="1"/>
    <col min="3334" max="3581" width="10.7109375" style="360"/>
    <col min="3582" max="3582" width="13.140625" style="360" customWidth="1"/>
    <col min="3583" max="3583" width="38" style="360" customWidth="1"/>
    <col min="3584" max="3584" width="8.42578125" style="360" customWidth="1"/>
    <col min="3585" max="3585" width="15.7109375" style="360" customWidth="1"/>
    <col min="3586" max="3586" width="18.28515625" style="360" customWidth="1"/>
    <col min="3587" max="3587" width="17.85546875" style="360" customWidth="1"/>
    <col min="3588" max="3588" width="0" style="360" hidden="1" customWidth="1"/>
    <col min="3589" max="3589" width="33.28515625" style="360" customWidth="1"/>
    <col min="3590" max="3837" width="10.7109375" style="360"/>
    <col min="3838" max="3838" width="13.140625" style="360" customWidth="1"/>
    <col min="3839" max="3839" width="38" style="360" customWidth="1"/>
    <col min="3840" max="3840" width="8.42578125" style="360" customWidth="1"/>
    <col min="3841" max="3841" width="15.7109375" style="360" customWidth="1"/>
    <col min="3842" max="3842" width="18.28515625" style="360" customWidth="1"/>
    <col min="3843" max="3843" width="17.85546875" style="360" customWidth="1"/>
    <col min="3844" max="3844" width="0" style="360" hidden="1" customWidth="1"/>
    <col min="3845" max="3845" width="33.28515625" style="360" customWidth="1"/>
    <col min="3846" max="4093" width="10.7109375" style="360"/>
    <col min="4094" max="4094" width="13.140625" style="360" customWidth="1"/>
    <col min="4095" max="4095" width="38" style="360" customWidth="1"/>
    <col min="4096" max="4096" width="8.42578125" style="360" customWidth="1"/>
    <col min="4097" max="4097" width="15.7109375" style="360" customWidth="1"/>
    <col min="4098" max="4098" width="18.28515625" style="360" customWidth="1"/>
    <col min="4099" max="4099" width="17.85546875" style="360" customWidth="1"/>
    <col min="4100" max="4100" width="0" style="360" hidden="1" customWidth="1"/>
    <col min="4101" max="4101" width="33.28515625" style="360" customWidth="1"/>
    <col min="4102" max="4349" width="10.7109375" style="360"/>
    <col min="4350" max="4350" width="13.140625" style="360" customWidth="1"/>
    <col min="4351" max="4351" width="38" style="360" customWidth="1"/>
    <col min="4352" max="4352" width="8.42578125" style="360" customWidth="1"/>
    <col min="4353" max="4353" width="15.7109375" style="360" customWidth="1"/>
    <col min="4354" max="4354" width="18.28515625" style="360" customWidth="1"/>
    <col min="4355" max="4355" width="17.85546875" style="360" customWidth="1"/>
    <col min="4356" max="4356" width="0" style="360" hidden="1" customWidth="1"/>
    <col min="4357" max="4357" width="33.28515625" style="360" customWidth="1"/>
    <col min="4358" max="4605" width="10.7109375" style="360"/>
    <col min="4606" max="4606" width="13.140625" style="360" customWidth="1"/>
    <col min="4607" max="4607" width="38" style="360" customWidth="1"/>
    <col min="4608" max="4608" width="8.42578125" style="360" customWidth="1"/>
    <col min="4609" max="4609" width="15.7109375" style="360" customWidth="1"/>
    <col min="4610" max="4610" width="18.28515625" style="360" customWidth="1"/>
    <col min="4611" max="4611" width="17.85546875" style="360" customWidth="1"/>
    <col min="4612" max="4612" width="0" style="360" hidden="1" customWidth="1"/>
    <col min="4613" max="4613" width="33.28515625" style="360" customWidth="1"/>
    <col min="4614" max="4861" width="10.7109375" style="360"/>
    <col min="4862" max="4862" width="13.140625" style="360" customWidth="1"/>
    <col min="4863" max="4863" width="38" style="360" customWidth="1"/>
    <col min="4864" max="4864" width="8.42578125" style="360" customWidth="1"/>
    <col min="4865" max="4865" width="15.7109375" style="360" customWidth="1"/>
    <col min="4866" max="4866" width="18.28515625" style="360" customWidth="1"/>
    <col min="4867" max="4867" width="17.85546875" style="360" customWidth="1"/>
    <col min="4868" max="4868" width="0" style="360" hidden="1" customWidth="1"/>
    <col min="4869" max="4869" width="33.28515625" style="360" customWidth="1"/>
    <col min="4870" max="5117" width="10.7109375" style="360"/>
    <col min="5118" max="5118" width="13.140625" style="360" customWidth="1"/>
    <col min="5119" max="5119" width="38" style="360" customWidth="1"/>
    <col min="5120" max="5120" width="8.42578125" style="360" customWidth="1"/>
    <col min="5121" max="5121" width="15.7109375" style="360" customWidth="1"/>
    <col min="5122" max="5122" width="18.28515625" style="360" customWidth="1"/>
    <col min="5123" max="5123" width="17.85546875" style="360" customWidth="1"/>
    <col min="5124" max="5124" width="0" style="360" hidden="1" customWidth="1"/>
    <col min="5125" max="5125" width="33.28515625" style="360" customWidth="1"/>
    <col min="5126" max="5373" width="10.7109375" style="360"/>
    <col min="5374" max="5374" width="13.140625" style="360" customWidth="1"/>
    <col min="5375" max="5375" width="38" style="360" customWidth="1"/>
    <col min="5376" max="5376" width="8.42578125" style="360" customWidth="1"/>
    <col min="5377" max="5377" width="15.7109375" style="360" customWidth="1"/>
    <col min="5378" max="5378" width="18.28515625" style="360" customWidth="1"/>
    <col min="5379" max="5379" width="17.85546875" style="360" customWidth="1"/>
    <col min="5380" max="5380" width="0" style="360" hidden="1" customWidth="1"/>
    <col min="5381" max="5381" width="33.28515625" style="360" customWidth="1"/>
    <col min="5382" max="5629" width="10.7109375" style="360"/>
    <col min="5630" max="5630" width="13.140625" style="360" customWidth="1"/>
    <col min="5631" max="5631" width="38" style="360" customWidth="1"/>
    <col min="5632" max="5632" width="8.42578125" style="360" customWidth="1"/>
    <col min="5633" max="5633" width="15.7109375" style="360" customWidth="1"/>
    <col min="5634" max="5634" width="18.28515625" style="360" customWidth="1"/>
    <col min="5635" max="5635" width="17.85546875" style="360" customWidth="1"/>
    <col min="5636" max="5636" width="0" style="360" hidden="1" customWidth="1"/>
    <col min="5637" max="5637" width="33.28515625" style="360" customWidth="1"/>
    <col min="5638" max="5885" width="10.7109375" style="360"/>
    <col min="5886" max="5886" width="13.140625" style="360" customWidth="1"/>
    <col min="5887" max="5887" width="38" style="360" customWidth="1"/>
    <col min="5888" max="5888" width="8.42578125" style="360" customWidth="1"/>
    <col min="5889" max="5889" width="15.7109375" style="360" customWidth="1"/>
    <col min="5890" max="5890" width="18.28515625" style="360" customWidth="1"/>
    <col min="5891" max="5891" width="17.85546875" style="360" customWidth="1"/>
    <col min="5892" max="5892" width="0" style="360" hidden="1" customWidth="1"/>
    <col min="5893" max="5893" width="33.28515625" style="360" customWidth="1"/>
    <col min="5894" max="6141" width="10.7109375" style="360"/>
    <col min="6142" max="6142" width="13.140625" style="360" customWidth="1"/>
    <col min="6143" max="6143" width="38" style="360" customWidth="1"/>
    <col min="6144" max="6144" width="8.42578125" style="360" customWidth="1"/>
    <col min="6145" max="6145" width="15.7109375" style="360" customWidth="1"/>
    <col min="6146" max="6146" width="18.28515625" style="360" customWidth="1"/>
    <col min="6147" max="6147" width="17.85546875" style="360" customWidth="1"/>
    <col min="6148" max="6148" width="0" style="360" hidden="1" customWidth="1"/>
    <col min="6149" max="6149" width="33.28515625" style="360" customWidth="1"/>
    <col min="6150" max="6397" width="10.7109375" style="360"/>
    <col min="6398" max="6398" width="13.140625" style="360" customWidth="1"/>
    <col min="6399" max="6399" width="38" style="360" customWidth="1"/>
    <col min="6400" max="6400" width="8.42578125" style="360" customWidth="1"/>
    <col min="6401" max="6401" width="15.7109375" style="360" customWidth="1"/>
    <col min="6402" max="6402" width="18.28515625" style="360" customWidth="1"/>
    <col min="6403" max="6403" width="17.85546875" style="360" customWidth="1"/>
    <col min="6404" max="6404" width="0" style="360" hidden="1" customWidth="1"/>
    <col min="6405" max="6405" width="33.28515625" style="360" customWidth="1"/>
    <col min="6406" max="6653" width="10.7109375" style="360"/>
    <col min="6654" max="6654" width="13.140625" style="360" customWidth="1"/>
    <col min="6655" max="6655" width="38" style="360" customWidth="1"/>
    <col min="6656" max="6656" width="8.42578125" style="360" customWidth="1"/>
    <col min="6657" max="6657" width="15.7109375" style="360" customWidth="1"/>
    <col min="6658" max="6658" width="18.28515625" style="360" customWidth="1"/>
    <col min="6659" max="6659" width="17.85546875" style="360" customWidth="1"/>
    <col min="6660" max="6660" width="0" style="360" hidden="1" customWidth="1"/>
    <col min="6661" max="6661" width="33.28515625" style="360" customWidth="1"/>
    <col min="6662" max="6909" width="10.7109375" style="360"/>
    <col min="6910" max="6910" width="13.140625" style="360" customWidth="1"/>
    <col min="6911" max="6911" width="38" style="360" customWidth="1"/>
    <col min="6912" max="6912" width="8.42578125" style="360" customWidth="1"/>
    <col min="6913" max="6913" width="15.7109375" style="360" customWidth="1"/>
    <col min="6914" max="6914" width="18.28515625" style="360" customWidth="1"/>
    <col min="6915" max="6915" width="17.85546875" style="360" customWidth="1"/>
    <col min="6916" max="6916" width="0" style="360" hidden="1" customWidth="1"/>
    <col min="6917" max="6917" width="33.28515625" style="360" customWidth="1"/>
    <col min="6918" max="7165" width="10.7109375" style="360"/>
    <col min="7166" max="7166" width="13.140625" style="360" customWidth="1"/>
    <col min="7167" max="7167" width="38" style="360" customWidth="1"/>
    <col min="7168" max="7168" width="8.42578125" style="360" customWidth="1"/>
    <col min="7169" max="7169" width="15.7109375" style="360" customWidth="1"/>
    <col min="7170" max="7170" width="18.28515625" style="360" customWidth="1"/>
    <col min="7171" max="7171" width="17.85546875" style="360" customWidth="1"/>
    <col min="7172" max="7172" width="0" style="360" hidden="1" customWidth="1"/>
    <col min="7173" max="7173" width="33.28515625" style="360" customWidth="1"/>
    <col min="7174" max="7421" width="10.7109375" style="360"/>
    <col min="7422" max="7422" width="13.140625" style="360" customWidth="1"/>
    <col min="7423" max="7423" width="38" style="360" customWidth="1"/>
    <col min="7424" max="7424" width="8.42578125" style="360" customWidth="1"/>
    <col min="7425" max="7425" width="15.7109375" style="360" customWidth="1"/>
    <col min="7426" max="7426" width="18.28515625" style="360" customWidth="1"/>
    <col min="7427" max="7427" width="17.85546875" style="360" customWidth="1"/>
    <col min="7428" max="7428" width="0" style="360" hidden="1" customWidth="1"/>
    <col min="7429" max="7429" width="33.28515625" style="360" customWidth="1"/>
    <col min="7430" max="7677" width="10.7109375" style="360"/>
    <col min="7678" max="7678" width="13.140625" style="360" customWidth="1"/>
    <col min="7679" max="7679" width="38" style="360" customWidth="1"/>
    <col min="7680" max="7680" width="8.42578125" style="360" customWidth="1"/>
    <col min="7681" max="7681" width="15.7109375" style="360" customWidth="1"/>
    <col min="7682" max="7682" width="18.28515625" style="360" customWidth="1"/>
    <col min="7683" max="7683" width="17.85546875" style="360" customWidth="1"/>
    <col min="7684" max="7684" width="0" style="360" hidden="1" customWidth="1"/>
    <col min="7685" max="7685" width="33.28515625" style="360" customWidth="1"/>
    <col min="7686" max="7933" width="10.7109375" style="360"/>
    <col min="7934" max="7934" width="13.140625" style="360" customWidth="1"/>
    <col min="7935" max="7935" width="38" style="360" customWidth="1"/>
    <col min="7936" max="7936" width="8.42578125" style="360" customWidth="1"/>
    <col min="7937" max="7937" width="15.7109375" style="360" customWidth="1"/>
    <col min="7938" max="7938" width="18.28515625" style="360" customWidth="1"/>
    <col min="7939" max="7939" width="17.85546875" style="360" customWidth="1"/>
    <col min="7940" max="7940" width="0" style="360" hidden="1" customWidth="1"/>
    <col min="7941" max="7941" width="33.28515625" style="360" customWidth="1"/>
    <col min="7942" max="8189" width="10.7109375" style="360"/>
    <col min="8190" max="8190" width="13.140625" style="360" customWidth="1"/>
    <col min="8191" max="8191" width="38" style="360" customWidth="1"/>
    <col min="8192" max="8192" width="8.42578125" style="360" customWidth="1"/>
    <col min="8193" max="8193" width="15.7109375" style="360" customWidth="1"/>
    <col min="8194" max="8194" width="18.28515625" style="360" customWidth="1"/>
    <col min="8195" max="8195" width="17.85546875" style="360" customWidth="1"/>
    <col min="8196" max="8196" width="0" style="360" hidden="1" customWidth="1"/>
    <col min="8197" max="8197" width="33.28515625" style="360" customWidth="1"/>
    <col min="8198" max="8445" width="10.7109375" style="360"/>
    <col min="8446" max="8446" width="13.140625" style="360" customWidth="1"/>
    <col min="8447" max="8447" width="38" style="360" customWidth="1"/>
    <col min="8448" max="8448" width="8.42578125" style="360" customWidth="1"/>
    <col min="8449" max="8449" width="15.7109375" style="360" customWidth="1"/>
    <col min="8450" max="8450" width="18.28515625" style="360" customWidth="1"/>
    <col min="8451" max="8451" width="17.85546875" style="360" customWidth="1"/>
    <col min="8452" max="8452" width="0" style="360" hidden="1" customWidth="1"/>
    <col min="8453" max="8453" width="33.28515625" style="360" customWidth="1"/>
    <col min="8454" max="8701" width="10.7109375" style="360"/>
    <col min="8702" max="8702" width="13.140625" style="360" customWidth="1"/>
    <col min="8703" max="8703" width="38" style="360" customWidth="1"/>
    <col min="8704" max="8704" width="8.42578125" style="360" customWidth="1"/>
    <col min="8705" max="8705" width="15.7109375" style="360" customWidth="1"/>
    <col min="8706" max="8706" width="18.28515625" style="360" customWidth="1"/>
    <col min="8707" max="8707" width="17.85546875" style="360" customWidth="1"/>
    <col min="8708" max="8708" width="0" style="360" hidden="1" customWidth="1"/>
    <col min="8709" max="8709" width="33.28515625" style="360" customWidth="1"/>
    <col min="8710" max="8957" width="10.7109375" style="360"/>
    <col min="8958" max="8958" width="13.140625" style="360" customWidth="1"/>
    <col min="8959" max="8959" width="38" style="360" customWidth="1"/>
    <col min="8960" max="8960" width="8.42578125" style="360" customWidth="1"/>
    <col min="8961" max="8961" width="15.7109375" style="360" customWidth="1"/>
    <col min="8962" max="8962" width="18.28515625" style="360" customWidth="1"/>
    <col min="8963" max="8963" width="17.85546875" style="360" customWidth="1"/>
    <col min="8964" max="8964" width="0" style="360" hidden="1" customWidth="1"/>
    <col min="8965" max="8965" width="33.28515625" style="360" customWidth="1"/>
    <col min="8966" max="9213" width="10.7109375" style="360"/>
    <col min="9214" max="9214" width="13.140625" style="360" customWidth="1"/>
    <col min="9215" max="9215" width="38" style="360" customWidth="1"/>
    <col min="9216" max="9216" width="8.42578125" style="360" customWidth="1"/>
    <col min="9217" max="9217" width="15.7109375" style="360" customWidth="1"/>
    <col min="9218" max="9218" width="18.28515625" style="360" customWidth="1"/>
    <col min="9219" max="9219" width="17.85546875" style="360" customWidth="1"/>
    <col min="9220" max="9220" width="0" style="360" hidden="1" customWidth="1"/>
    <col min="9221" max="9221" width="33.28515625" style="360" customWidth="1"/>
    <col min="9222" max="9469" width="10.7109375" style="360"/>
    <col min="9470" max="9470" width="13.140625" style="360" customWidth="1"/>
    <col min="9471" max="9471" width="38" style="360" customWidth="1"/>
    <col min="9472" max="9472" width="8.42578125" style="360" customWidth="1"/>
    <col min="9473" max="9473" width="15.7109375" style="360" customWidth="1"/>
    <col min="9474" max="9474" width="18.28515625" style="360" customWidth="1"/>
    <col min="9475" max="9475" width="17.85546875" style="360" customWidth="1"/>
    <col min="9476" max="9476" width="0" style="360" hidden="1" customWidth="1"/>
    <col min="9477" max="9477" width="33.28515625" style="360" customWidth="1"/>
    <col min="9478" max="9725" width="10.7109375" style="360"/>
    <col min="9726" max="9726" width="13.140625" style="360" customWidth="1"/>
    <col min="9727" max="9727" width="38" style="360" customWidth="1"/>
    <col min="9728" max="9728" width="8.42578125" style="360" customWidth="1"/>
    <col min="9729" max="9729" width="15.7109375" style="360" customWidth="1"/>
    <col min="9730" max="9730" width="18.28515625" style="360" customWidth="1"/>
    <col min="9731" max="9731" width="17.85546875" style="360" customWidth="1"/>
    <col min="9732" max="9732" width="0" style="360" hidden="1" customWidth="1"/>
    <col min="9733" max="9733" width="33.28515625" style="360" customWidth="1"/>
    <col min="9734" max="9981" width="10.7109375" style="360"/>
    <col min="9982" max="9982" width="13.140625" style="360" customWidth="1"/>
    <col min="9983" max="9983" width="38" style="360" customWidth="1"/>
    <col min="9984" max="9984" width="8.42578125" style="360" customWidth="1"/>
    <col min="9985" max="9985" width="15.7109375" style="360" customWidth="1"/>
    <col min="9986" max="9986" width="18.28515625" style="360" customWidth="1"/>
    <col min="9987" max="9987" width="17.85546875" style="360" customWidth="1"/>
    <col min="9988" max="9988" width="0" style="360" hidden="1" customWidth="1"/>
    <col min="9989" max="9989" width="33.28515625" style="360" customWidth="1"/>
    <col min="9990" max="10237" width="10.7109375" style="360"/>
    <col min="10238" max="10238" width="13.140625" style="360" customWidth="1"/>
    <col min="10239" max="10239" width="38" style="360" customWidth="1"/>
    <col min="10240" max="10240" width="8.42578125" style="360" customWidth="1"/>
    <col min="10241" max="10241" width="15.7109375" style="360" customWidth="1"/>
    <col min="10242" max="10242" width="18.28515625" style="360" customWidth="1"/>
    <col min="10243" max="10243" width="17.85546875" style="360" customWidth="1"/>
    <col min="10244" max="10244" width="0" style="360" hidden="1" customWidth="1"/>
    <col min="10245" max="10245" width="33.28515625" style="360" customWidth="1"/>
    <col min="10246" max="10493" width="10.7109375" style="360"/>
    <col min="10494" max="10494" width="13.140625" style="360" customWidth="1"/>
    <col min="10495" max="10495" width="38" style="360" customWidth="1"/>
    <col min="10496" max="10496" width="8.42578125" style="360" customWidth="1"/>
    <col min="10497" max="10497" width="15.7109375" style="360" customWidth="1"/>
    <col min="10498" max="10498" width="18.28515625" style="360" customWidth="1"/>
    <col min="10499" max="10499" width="17.85546875" style="360" customWidth="1"/>
    <col min="10500" max="10500" width="0" style="360" hidden="1" customWidth="1"/>
    <col min="10501" max="10501" width="33.28515625" style="360" customWidth="1"/>
    <col min="10502" max="10749" width="10.7109375" style="360"/>
    <col min="10750" max="10750" width="13.140625" style="360" customWidth="1"/>
    <col min="10751" max="10751" width="38" style="360" customWidth="1"/>
    <col min="10752" max="10752" width="8.42578125" style="360" customWidth="1"/>
    <col min="10753" max="10753" width="15.7109375" style="360" customWidth="1"/>
    <col min="10754" max="10754" width="18.28515625" style="360" customWidth="1"/>
    <col min="10755" max="10755" width="17.85546875" style="360" customWidth="1"/>
    <col min="10756" max="10756" width="0" style="360" hidden="1" customWidth="1"/>
    <col min="10757" max="10757" width="33.28515625" style="360" customWidth="1"/>
    <col min="10758" max="11005" width="10.7109375" style="360"/>
    <col min="11006" max="11006" width="13.140625" style="360" customWidth="1"/>
    <col min="11007" max="11007" width="38" style="360" customWidth="1"/>
    <col min="11008" max="11008" width="8.42578125" style="360" customWidth="1"/>
    <col min="11009" max="11009" width="15.7109375" style="360" customWidth="1"/>
    <col min="11010" max="11010" width="18.28515625" style="360" customWidth="1"/>
    <col min="11011" max="11011" width="17.85546875" style="360" customWidth="1"/>
    <col min="11012" max="11012" width="0" style="360" hidden="1" customWidth="1"/>
    <col min="11013" max="11013" width="33.28515625" style="360" customWidth="1"/>
    <col min="11014" max="11261" width="10.7109375" style="360"/>
    <col min="11262" max="11262" width="13.140625" style="360" customWidth="1"/>
    <col min="11263" max="11263" width="38" style="360" customWidth="1"/>
    <col min="11264" max="11264" width="8.42578125" style="360" customWidth="1"/>
    <col min="11265" max="11265" width="15.7109375" style="360" customWidth="1"/>
    <col min="11266" max="11266" width="18.28515625" style="360" customWidth="1"/>
    <col min="11267" max="11267" width="17.85546875" style="360" customWidth="1"/>
    <col min="11268" max="11268" width="0" style="360" hidden="1" customWidth="1"/>
    <col min="11269" max="11269" width="33.28515625" style="360" customWidth="1"/>
    <col min="11270" max="11517" width="10.7109375" style="360"/>
    <col min="11518" max="11518" width="13.140625" style="360" customWidth="1"/>
    <col min="11519" max="11519" width="38" style="360" customWidth="1"/>
    <col min="11520" max="11520" width="8.42578125" style="360" customWidth="1"/>
    <col min="11521" max="11521" width="15.7109375" style="360" customWidth="1"/>
    <col min="11522" max="11522" width="18.28515625" style="360" customWidth="1"/>
    <col min="11523" max="11523" width="17.85546875" style="360" customWidth="1"/>
    <col min="11524" max="11524" width="0" style="360" hidden="1" customWidth="1"/>
    <col min="11525" max="11525" width="33.28515625" style="360" customWidth="1"/>
    <col min="11526" max="11773" width="10.7109375" style="360"/>
    <col min="11774" max="11774" width="13.140625" style="360" customWidth="1"/>
    <col min="11775" max="11775" width="38" style="360" customWidth="1"/>
    <col min="11776" max="11776" width="8.42578125" style="360" customWidth="1"/>
    <col min="11777" max="11777" width="15.7109375" style="360" customWidth="1"/>
    <col min="11778" max="11778" width="18.28515625" style="360" customWidth="1"/>
    <col min="11779" max="11779" width="17.85546875" style="360" customWidth="1"/>
    <col min="11780" max="11780" width="0" style="360" hidden="1" customWidth="1"/>
    <col min="11781" max="11781" width="33.28515625" style="360" customWidth="1"/>
    <col min="11782" max="12029" width="10.7109375" style="360"/>
    <col min="12030" max="12030" width="13.140625" style="360" customWidth="1"/>
    <col min="12031" max="12031" width="38" style="360" customWidth="1"/>
    <col min="12032" max="12032" width="8.42578125" style="360" customWidth="1"/>
    <col min="12033" max="12033" width="15.7109375" style="360" customWidth="1"/>
    <col min="12034" max="12034" width="18.28515625" style="360" customWidth="1"/>
    <col min="12035" max="12035" width="17.85546875" style="360" customWidth="1"/>
    <col min="12036" max="12036" width="0" style="360" hidden="1" customWidth="1"/>
    <col min="12037" max="12037" width="33.28515625" style="360" customWidth="1"/>
    <col min="12038" max="12285" width="10.7109375" style="360"/>
    <col min="12286" max="12286" width="13.140625" style="360" customWidth="1"/>
    <col min="12287" max="12287" width="38" style="360" customWidth="1"/>
    <col min="12288" max="12288" width="8.42578125" style="360" customWidth="1"/>
    <col min="12289" max="12289" width="15.7109375" style="360" customWidth="1"/>
    <col min="12290" max="12290" width="18.28515625" style="360" customWidth="1"/>
    <col min="12291" max="12291" width="17.85546875" style="360" customWidth="1"/>
    <col min="12292" max="12292" width="0" style="360" hidden="1" customWidth="1"/>
    <col min="12293" max="12293" width="33.28515625" style="360" customWidth="1"/>
    <col min="12294" max="12541" width="10.7109375" style="360"/>
    <col min="12542" max="12542" width="13.140625" style="360" customWidth="1"/>
    <col min="12543" max="12543" width="38" style="360" customWidth="1"/>
    <col min="12544" max="12544" width="8.42578125" style="360" customWidth="1"/>
    <col min="12545" max="12545" width="15.7109375" style="360" customWidth="1"/>
    <col min="12546" max="12546" width="18.28515625" style="360" customWidth="1"/>
    <col min="12547" max="12547" width="17.85546875" style="360" customWidth="1"/>
    <col min="12548" max="12548" width="0" style="360" hidden="1" customWidth="1"/>
    <col min="12549" max="12549" width="33.28515625" style="360" customWidth="1"/>
    <col min="12550" max="12797" width="10.7109375" style="360"/>
    <col min="12798" max="12798" width="13.140625" style="360" customWidth="1"/>
    <col min="12799" max="12799" width="38" style="360" customWidth="1"/>
    <col min="12800" max="12800" width="8.42578125" style="360" customWidth="1"/>
    <col min="12801" max="12801" width="15.7109375" style="360" customWidth="1"/>
    <col min="12802" max="12802" width="18.28515625" style="360" customWidth="1"/>
    <col min="12803" max="12803" width="17.85546875" style="360" customWidth="1"/>
    <col min="12804" max="12804" width="0" style="360" hidden="1" customWidth="1"/>
    <col min="12805" max="12805" width="33.28515625" style="360" customWidth="1"/>
    <col min="12806" max="13053" width="10.7109375" style="360"/>
    <col min="13054" max="13054" width="13.140625" style="360" customWidth="1"/>
    <col min="13055" max="13055" width="38" style="360" customWidth="1"/>
    <col min="13056" max="13056" width="8.42578125" style="360" customWidth="1"/>
    <col min="13057" max="13057" width="15.7109375" style="360" customWidth="1"/>
    <col min="13058" max="13058" width="18.28515625" style="360" customWidth="1"/>
    <col min="13059" max="13059" width="17.85546875" style="360" customWidth="1"/>
    <col min="13060" max="13060" width="0" style="360" hidden="1" customWidth="1"/>
    <col min="13061" max="13061" width="33.28515625" style="360" customWidth="1"/>
    <col min="13062" max="13309" width="10.7109375" style="360"/>
    <col min="13310" max="13310" width="13.140625" style="360" customWidth="1"/>
    <col min="13311" max="13311" width="38" style="360" customWidth="1"/>
    <col min="13312" max="13312" width="8.42578125" style="360" customWidth="1"/>
    <col min="13313" max="13313" width="15.7109375" style="360" customWidth="1"/>
    <col min="13314" max="13314" width="18.28515625" style="360" customWidth="1"/>
    <col min="13315" max="13315" width="17.85546875" style="360" customWidth="1"/>
    <col min="13316" max="13316" width="0" style="360" hidden="1" customWidth="1"/>
    <col min="13317" max="13317" width="33.28515625" style="360" customWidth="1"/>
    <col min="13318" max="13565" width="10.7109375" style="360"/>
    <col min="13566" max="13566" width="13.140625" style="360" customWidth="1"/>
    <col min="13567" max="13567" width="38" style="360" customWidth="1"/>
    <col min="13568" max="13568" width="8.42578125" style="360" customWidth="1"/>
    <col min="13569" max="13569" width="15.7109375" style="360" customWidth="1"/>
    <col min="13570" max="13570" width="18.28515625" style="360" customWidth="1"/>
    <col min="13571" max="13571" width="17.85546875" style="360" customWidth="1"/>
    <col min="13572" max="13572" width="0" style="360" hidden="1" customWidth="1"/>
    <col min="13573" max="13573" width="33.28515625" style="360" customWidth="1"/>
    <col min="13574" max="13821" width="10.7109375" style="360"/>
    <col min="13822" max="13822" width="13.140625" style="360" customWidth="1"/>
    <col min="13823" max="13823" width="38" style="360" customWidth="1"/>
    <col min="13824" max="13824" width="8.42578125" style="360" customWidth="1"/>
    <col min="13825" max="13825" width="15.7109375" style="360" customWidth="1"/>
    <col min="13826" max="13826" width="18.28515625" style="360" customWidth="1"/>
    <col min="13827" max="13827" width="17.85546875" style="360" customWidth="1"/>
    <col min="13828" max="13828" width="0" style="360" hidden="1" customWidth="1"/>
    <col min="13829" max="13829" width="33.28515625" style="360" customWidth="1"/>
    <col min="13830" max="14077" width="10.7109375" style="360"/>
    <col min="14078" max="14078" width="13.140625" style="360" customWidth="1"/>
    <col min="14079" max="14079" width="38" style="360" customWidth="1"/>
    <col min="14080" max="14080" width="8.42578125" style="360" customWidth="1"/>
    <col min="14081" max="14081" width="15.7109375" style="360" customWidth="1"/>
    <col min="14082" max="14082" width="18.28515625" style="360" customWidth="1"/>
    <col min="14083" max="14083" width="17.85546875" style="360" customWidth="1"/>
    <col min="14084" max="14084" width="0" style="360" hidden="1" customWidth="1"/>
    <col min="14085" max="14085" width="33.28515625" style="360" customWidth="1"/>
    <col min="14086" max="14333" width="10.7109375" style="360"/>
    <col min="14334" max="14334" width="13.140625" style="360" customWidth="1"/>
    <col min="14335" max="14335" width="38" style="360" customWidth="1"/>
    <col min="14336" max="14336" width="8.42578125" style="360" customWidth="1"/>
    <col min="14337" max="14337" width="15.7109375" style="360" customWidth="1"/>
    <col min="14338" max="14338" width="18.28515625" style="360" customWidth="1"/>
    <col min="14339" max="14339" width="17.85546875" style="360" customWidth="1"/>
    <col min="14340" max="14340" width="0" style="360" hidden="1" customWidth="1"/>
    <col min="14341" max="14341" width="33.28515625" style="360" customWidth="1"/>
    <col min="14342" max="14589" width="10.7109375" style="360"/>
    <col min="14590" max="14590" width="13.140625" style="360" customWidth="1"/>
    <col min="14591" max="14591" width="38" style="360" customWidth="1"/>
    <col min="14592" max="14592" width="8.42578125" style="360" customWidth="1"/>
    <col min="14593" max="14593" width="15.7109375" style="360" customWidth="1"/>
    <col min="14594" max="14594" width="18.28515625" style="360" customWidth="1"/>
    <col min="14595" max="14595" width="17.85546875" style="360" customWidth="1"/>
    <col min="14596" max="14596" width="0" style="360" hidden="1" customWidth="1"/>
    <col min="14597" max="14597" width="33.28515625" style="360" customWidth="1"/>
    <col min="14598" max="14845" width="10.7109375" style="360"/>
    <col min="14846" max="14846" width="13.140625" style="360" customWidth="1"/>
    <col min="14847" max="14847" width="38" style="360" customWidth="1"/>
    <col min="14848" max="14848" width="8.42578125" style="360" customWidth="1"/>
    <col min="14849" max="14849" width="15.7109375" style="360" customWidth="1"/>
    <col min="14850" max="14850" width="18.28515625" style="360" customWidth="1"/>
    <col min="14851" max="14851" width="17.85546875" style="360" customWidth="1"/>
    <col min="14852" max="14852" width="0" style="360" hidden="1" customWidth="1"/>
    <col min="14853" max="14853" width="33.28515625" style="360" customWidth="1"/>
    <col min="14854" max="15101" width="10.7109375" style="360"/>
    <col min="15102" max="15102" width="13.140625" style="360" customWidth="1"/>
    <col min="15103" max="15103" width="38" style="360" customWidth="1"/>
    <col min="15104" max="15104" width="8.42578125" style="360" customWidth="1"/>
    <col min="15105" max="15105" width="15.7109375" style="360" customWidth="1"/>
    <col min="15106" max="15106" width="18.28515625" style="360" customWidth="1"/>
    <col min="15107" max="15107" width="17.85546875" style="360" customWidth="1"/>
    <col min="15108" max="15108" width="0" style="360" hidden="1" customWidth="1"/>
    <col min="15109" max="15109" width="33.28515625" style="360" customWidth="1"/>
    <col min="15110" max="15357" width="10.7109375" style="360"/>
    <col min="15358" max="15358" width="13.140625" style="360" customWidth="1"/>
    <col min="15359" max="15359" width="38" style="360" customWidth="1"/>
    <col min="15360" max="15360" width="8.42578125" style="360" customWidth="1"/>
    <col min="15361" max="15361" width="15.7109375" style="360" customWidth="1"/>
    <col min="15362" max="15362" width="18.28515625" style="360" customWidth="1"/>
    <col min="15363" max="15363" width="17.85546875" style="360" customWidth="1"/>
    <col min="15364" max="15364" width="0" style="360" hidden="1" customWidth="1"/>
    <col min="15365" max="15365" width="33.28515625" style="360" customWidth="1"/>
    <col min="15366" max="15613" width="10.7109375" style="360"/>
    <col min="15614" max="15614" width="13.140625" style="360" customWidth="1"/>
    <col min="15615" max="15615" width="38" style="360" customWidth="1"/>
    <col min="15616" max="15616" width="8.42578125" style="360" customWidth="1"/>
    <col min="15617" max="15617" width="15.7109375" style="360" customWidth="1"/>
    <col min="15618" max="15618" width="18.28515625" style="360" customWidth="1"/>
    <col min="15619" max="15619" width="17.85546875" style="360" customWidth="1"/>
    <col min="15620" max="15620" width="0" style="360" hidden="1" customWidth="1"/>
    <col min="15621" max="15621" width="33.28515625" style="360" customWidth="1"/>
    <col min="15622" max="15869" width="10.7109375" style="360"/>
    <col min="15870" max="15870" width="13.140625" style="360" customWidth="1"/>
    <col min="15871" max="15871" width="38" style="360" customWidth="1"/>
    <col min="15872" max="15872" width="8.42578125" style="360" customWidth="1"/>
    <col min="15873" max="15873" width="15.7109375" style="360" customWidth="1"/>
    <col min="15874" max="15874" width="18.28515625" style="360" customWidth="1"/>
    <col min="15875" max="15875" width="17.85546875" style="360" customWidth="1"/>
    <col min="15876" max="15876" width="0" style="360" hidden="1" customWidth="1"/>
    <col min="15877" max="15877" width="33.28515625" style="360" customWidth="1"/>
    <col min="15878" max="16125" width="10.7109375" style="360"/>
    <col min="16126" max="16126" width="13.140625" style="360" customWidth="1"/>
    <col min="16127" max="16127" width="38" style="360" customWidth="1"/>
    <col min="16128" max="16128" width="8.42578125" style="360" customWidth="1"/>
    <col min="16129" max="16129" width="15.7109375" style="360" customWidth="1"/>
    <col min="16130" max="16130" width="18.28515625" style="360" customWidth="1"/>
    <col min="16131" max="16131" width="17.85546875" style="360" customWidth="1"/>
    <col min="16132" max="16132" width="0" style="360" hidden="1" customWidth="1"/>
    <col min="16133" max="16133" width="33.28515625" style="360" customWidth="1"/>
    <col min="16134" max="16384" width="10.7109375" style="360"/>
  </cols>
  <sheetData>
    <row r="1" spans="1:9" ht="13.9" x14ac:dyDescent="0.3">
      <c r="A1" s="547" t="str">
        <f>'07-DO'!B2</f>
        <v>PROIECT : Extindere infrastructură educațională – Centrul Școlar pentru Educație înclusivă „Constantin Pufan”</v>
      </c>
      <c r="B1" s="361"/>
      <c r="C1" s="357"/>
      <c r="D1" s="779"/>
      <c r="E1" s="358"/>
      <c r="F1" s="358"/>
      <c r="G1" s="359"/>
      <c r="H1" s="362"/>
    </row>
    <row r="2" spans="1:9" ht="13.15" x14ac:dyDescent="0.3">
      <c r="A2" s="361"/>
      <c r="B2" s="361"/>
      <c r="C2" s="357"/>
      <c r="D2" s="779"/>
      <c r="E2" s="358"/>
      <c r="F2" s="358"/>
      <c r="G2" s="359"/>
      <c r="H2" s="362"/>
    </row>
    <row r="3" spans="1:9" ht="13.15" x14ac:dyDescent="0.3">
      <c r="A3" s="359"/>
      <c r="B3" s="359"/>
      <c r="C3" s="357"/>
      <c r="D3" s="779"/>
      <c r="E3" s="358"/>
      <c r="F3" s="358"/>
      <c r="G3" s="359"/>
      <c r="H3" s="362"/>
    </row>
    <row r="4" spans="1:9" ht="13.15" x14ac:dyDescent="0.3">
      <c r="A4" s="1445" t="s">
        <v>1217</v>
      </c>
      <c r="B4" s="1445"/>
      <c r="C4" s="1445"/>
      <c r="D4" s="1445"/>
      <c r="E4" s="1445"/>
      <c r="F4" s="1445"/>
      <c r="G4" s="1445"/>
      <c r="H4" s="1445"/>
    </row>
    <row r="5" spans="1:9" ht="13.15" x14ac:dyDescent="0.3">
      <c r="A5" s="1445" t="s">
        <v>1455</v>
      </c>
      <c r="B5" s="1445"/>
      <c r="C5" s="1445"/>
      <c r="D5" s="1445"/>
      <c r="E5" s="1445"/>
      <c r="F5" s="1445"/>
      <c r="G5" s="1445"/>
      <c r="H5" s="1445"/>
    </row>
    <row r="6" spans="1:9" ht="13.15" x14ac:dyDescent="0.3">
      <c r="A6" s="1445" t="str">
        <f>DG!C67</f>
        <v>OBIECT 8 - Amenajare teren sportiv</v>
      </c>
      <c r="B6" s="1445"/>
      <c r="C6" s="1445"/>
      <c r="D6" s="1445"/>
      <c r="E6" s="1445"/>
      <c r="F6" s="1445"/>
      <c r="G6" s="1445"/>
      <c r="H6" s="1445"/>
    </row>
    <row r="7" spans="1:9" ht="13.15" x14ac:dyDescent="0.3">
      <c r="A7" s="828"/>
      <c r="B7" s="361"/>
      <c r="C7" s="828"/>
      <c r="D7" s="780"/>
      <c r="E7" s="560"/>
      <c r="F7" s="560"/>
      <c r="G7" s="828"/>
      <c r="H7" s="356"/>
    </row>
    <row r="8" spans="1:9" ht="13.15" x14ac:dyDescent="0.3">
      <c r="A8" s="359"/>
      <c r="B8" s="359"/>
      <c r="C8" s="357"/>
      <c r="D8" s="788">
        <v>1.1499999999999999</v>
      </c>
      <c r="E8" s="358"/>
      <c r="F8" s="358"/>
      <c r="G8" s="359"/>
      <c r="H8" s="362"/>
    </row>
    <row r="9" spans="1:9" ht="25.5" x14ac:dyDescent="0.25">
      <c r="A9" s="1446" t="s">
        <v>1179</v>
      </c>
      <c r="B9" s="1446" t="s">
        <v>1180</v>
      </c>
      <c r="C9" s="1446" t="s">
        <v>1181</v>
      </c>
      <c r="D9" s="1447" t="s">
        <v>1456</v>
      </c>
      <c r="E9" s="1448" t="s">
        <v>1456</v>
      </c>
      <c r="F9" s="829" t="s">
        <v>1183</v>
      </c>
      <c r="G9" s="1446" t="s">
        <v>1184</v>
      </c>
      <c r="H9" s="1446" t="s">
        <v>1185</v>
      </c>
    </row>
    <row r="10" spans="1:9" x14ac:dyDescent="0.25">
      <c r="A10" s="1446"/>
      <c r="B10" s="1446"/>
      <c r="C10" s="1446"/>
      <c r="D10" s="1447"/>
      <c r="E10" s="1448"/>
      <c r="F10" s="829" t="s">
        <v>1186</v>
      </c>
      <c r="G10" s="1446"/>
      <c r="H10" s="1446"/>
    </row>
    <row r="11" spans="1:9" ht="13.15" x14ac:dyDescent="0.3">
      <c r="A11" s="826">
        <v>1</v>
      </c>
      <c r="B11" s="826">
        <v>2</v>
      </c>
      <c r="C11" s="826">
        <v>3</v>
      </c>
      <c r="D11" s="778">
        <v>4</v>
      </c>
      <c r="E11" s="562">
        <v>4</v>
      </c>
      <c r="F11" s="562">
        <v>5</v>
      </c>
      <c r="G11" s="826">
        <v>7</v>
      </c>
      <c r="H11" s="826">
        <v>6</v>
      </c>
    </row>
    <row r="12" spans="1:9" ht="13.15" x14ac:dyDescent="0.3">
      <c r="A12" s="563" t="s">
        <v>1457</v>
      </c>
      <c r="B12" s="564"/>
      <c r="C12" s="565"/>
      <c r="D12" s="781"/>
      <c r="E12" s="565"/>
      <c r="F12" s="565"/>
      <c r="G12" s="565"/>
      <c r="H12" s="566"/>
    </row>
    <row r="13" spans="1:9" ht="13.15" x14ac:dyDescent="0.3">
      <c r="A13" s="364" t="s">
        <v>1458</v>
      </c>
      <c r="B13" s="530"/>
      <c r="C13" s="531"/>
      <c r="D13" s="783"/>
      <c r="E13" s="532"/>
      <c r="F13" s="532"/>
      <c r="G13" s="530"/>
      <c r="H13" s="567"/>
      <c r="I13" s="405"/>
    </row>
    <row r="14" spans="1:9" ht="13.15" x14ac:dyDescent="0.3">
      <c r="A14" s="364" t="s">
        <v>1459</v>
      </c>
      <c r="B14" s="530"/>
      <c r="C14" s="531"/>
      <c r="D14" s="783"/>
      <c r="E14" s="532"/>
      <c r="F14" s="532">
        <f t="shared" ref="F14:F29" si="0">C14*E14</f>
        <v>0</v>
      </c>
      <c r="G14" s="530"/>
      <c r="H14" s="533"/>
    </row>
    <row r="15" spans="1:9" ht="13.15" x14ac:dyDescent="0.3">
      <c r="A15" s="364" t="s">
        <v>1460</v>
      </c>
      <c r="B15" s="530"/>
      <c r="C15" s="531"/>
      <c r="D15" s="783"/>
      <c r="E15" s="532"/>
      <c r="F15" s="532">
        <f t="shared" si="0"/>
        <v>0</v>
      </c>
      <c r="G15" s="530"/>
      <c r="H15" s="533"/>
    </row>
    <row r="16" spans="1:9" ht="13.15" x14ac:dyDescent="0.3">
      <c r="A16" s="364" t="s">
        <v>1461</v>
      </c>
      <c r="B16" s="530"/>
      <c r="C16" s="531"/>
      <c r="D16" s="783"/>
      <c r="E16" s="532"/>
      <c r="F16" s="532">
        <f t="shared" si="0"/>
        <v>0</v>
      </c>
      <c r="G16" s="530"/>
      <c r="H16" s="533"/>
    </row>
    <row r="17" spans="1:11" ht="13.15" x14ac:dyDescent="0.3">
      <c r="A17" s="364" t="s">
        <v>1462</v>
      </c>
      <c r="B17" s="530"/>
      <c r="C17" s="531"/>
      <c r="D17" s="783"/>
      <c r="E17" s="532"/>
      <c r="F17" s="532">
        <f t="shared" si="0"/>
        <v>0</v>
      </c>
      <c r="G17" s="530"/>
      <c r="H17" s="533"/>
    </row>
    <row r="18" spans="1:11" ht="13.15" x14ac:dyDescent="0.3">
      <c r="A18" s="364" t="s">
        <v>1463</v>
      </c>
      <c r="B18" s="530"/>
      <c r="C18" s="531"/>
      <c r="D18" s="783"/>
      <c r="E18" s="532"/>
      <c r="F18" s="532">
        <f t="shared" si="0"/>
        <v>0</v>
      </c>
      <c r="G18" s="530"/>
      <c r="H18" s="533"/>
    </row>
    <row r="19" spans="1:11" ht="13.15" x14ac:dyDescent="0.3">
      <c r="A19" s="364" t="s">
        <v>1464</v>
      </c>
      <c r="B19" s="530"/>
      <c r="C19" s="531"/>
      <c r="D19" s="783"/>
      <c r="E19" s="532"/>
      <c r="F19" s="532">
        <f t="shared" si="0"/>
        <v>0</v>
      </c>
      <c r="G19" s="530"/>
      <c r="H19" s="533"/>
    </row>
    <row r="20" spans="1:11" ht="14.45" x14ac:dyDescent="0.3">
      <c r="A20" s="364" t="s">
        <v>1465</v>
      </c>
      <c r="B20" s="530"/>
      <c r="C20" s="531"/>
      <c r="D20" s="783"/>
      <c r="E20" s="532"/>
      <c r="F20" s="532">
        <f t="shared" si="0"/>
        <v>0</v>
      </c>
      <c r="G20" s="530"/>
      <c r="H20" s="533"/>
      <c r="I20" s="426"/>
    </row>
    <row r="21" spans="1:11" ht="14.45" x14ac:dyDescent="0.3">
      <c r="A21" s="364" t="s">
        <v>1466</v>
      </c>
      <c r="B21" s="530"/>
      <c r="C21" s="531"/>
      <c r="D21" s="783"/>
      <c r="E21" s="532"/>
      <c r="F21" s="532">
        <f t="shared" si="0"/>
        <v>0</v>
      </c>
      <c r="G21" s="530"/>
      <c r="H21" s="533"/>
      <c r="I21" s="426"/>
    </row>
    <row r="22" spans="1:11" ht="14.45" x14ac:dyDescent="0.3">
      <c r="A22" s="364" t="s">
        <v>1467</v>
      </c>
      <c r="B22" s="530"/>
      <c r="C22" s="531"/>
      <c r="D22" s="783"/>
      <c r="E22" s="532"/>
      <c r="F22" s="532">
        <f t="shared" si="0"/>
        <v>0</v>
      </c>
      <c r="G22" s="530"/>
      <c r="H22" s="533"/>
      <c r="I22" s="426"/>
    </row>
    <row r="23" spans="1:11" ht="14.45" x14ac:dyDescent="0.3">
      <c r="A23" s="364" t="s">
        <v>1468</v>
      </c>
      <c r="B23" s="530"/>
      <c r="C23" s="531"/>
      <c r="D23" s="783"/>
      <c r="E23" s="532"/>
      <c r="F23" s="532">
        <f t="shared" si="0"/>
        <v>0</v>
      </c>
      <c r="G23" s="530"/>
      <c r="H23" s="567"/>
      <c r="I23" s="426"/>
    </row>
    <row r="24" spans="1:11" ht="13.15" x14ac:dyDescent="0.3">
      <c r="A24" s="364" t="s">
        <v>1469</v>
      </c>
      <c r="B24" s="530"/>
      <c r="C24" s="531"/>
      <c r="D24" s="783"/>
      <c r="E24" s="532"/>
      <c r="F24" s="532">
        <f t="shared" si="0"/>
        <v>0</v>
      </c>
      <c r="G24" s="530"/>
      <c r="H24" s="533"/>
    </row>
    <row r="25" spans="1:11" ht="13.15" x14ac:dyDescent="0.3">
      <c r="A25" s="364" t="s">
        <v>1470</v>
      </c>
      <c r="B25" s="530"/>
      <c r="C25" s="531"/>
      <c r="D25" s="783"/>
      <c r="E25" s="532"/>
      <c r="F25" s="532">
        <f t="shared" si="0"/>
        <v>0</v>
      </c>
      <c r="G25" s="530"/>
      <c r="H25" s="533"/>
    </row>
    <row r="26" spans="1:11" ht="13.15" x14ac:dyDescent="0.3">
      <c r="A26" s="364" t="s">
        <v>1471</v>
      </c>
      <c r="B26" s="530"/>
      <c r="C26" s="531"/>
      <c r="D26" s="783"/>
      <c r="E26" s="532"/>
      <c r="F26" s="532">
        <f t="shared" si="0"/>
        <v>0</v>
      </c>
      <c r="G26" s="530"/>
      <c r="H26" s="533"/>
    </row>
    <row r="27" spans="1:11" ht="13.15" x14ac:dyDescent="0.3">
      <c r="A27" s="364" t="s">
        <v>1472</v>
      </c>
      <c r="B27" s="530"/>
      <c r="C27" s="531"/>
      <c r="D27" s="783"/>
      <c r="E27" s="532"/>
      <c r="F27" s="532">
        <f t="shared" si="0"/>
        <v>0</v>
      </c>
      <c r="G27" s="530"/>
      <c r="H27" s="533"/>
    </row>
    <row r="28" spans="1:11" ht="13.15" x14ac:dyDescent="0.3">
      <c r="A28" s="364" t="s">
        <v>1473</v>
      </c>
      <c r="B28" s="530"/>
      <c r="C28" s="531"/>
      <c r="D28" s="783"/>
      <c r="E28" s="532"/>
      <c r="F28" s="532">
        <f t="shared" si="0"/>
        <v>0</v>
      </c>
      <c r="G28" s="530"/>
      <c r="H28" s="533"/>
    </row>
    <row r="29" spans="1:11" ht="13.15" x14ac:dyDescent="0.3">
      <c r="A29" s="364" t="s">
        <v>1474</v>
      </c>
      <c r="B29" s="530"/>
      <c r="C29" s="531"/>
      <c r="D29" s="783"/>
      <c r="E29" s="532"/>
      <c r="F29" s="532">
        <f t="shared" si="0"/>
        <v>0</v>
      </c>
      <c r="G29" s="530"/>
      <c r="H29" s="533"/>
    </row>
    <row r="30" spans="1:11" ht="13.15" x14ac:dyDescent="0.3">
      <c r="A30" s="563" t="s">
        <v>1481</v>
      </c>
      <c r="B30" s="564"/>
      <c r="C30" s="574"/>
      <c r="D30" s="772"/>
      <c r="E30" s="575"/>
      <c r="F30" s="575"/>
      <c r="G30" s="576"/>
      <c r="H30" s="577"/>
      <c r="I30" s="530"/>
    </row>
    <row r="31" spans="1:11" ht="14.45" x14ac:dyDescent="0.3">
      <c r="A31" s="366" t="s">
        <v>1482</v>
      </c>
      <c r="B31" s="549"/>
      <c r="C31" s="550"/>
      <c r="D31" s="783"/>
      <c r="E31" s="395"/>
      <c r="F31" s="369">
        <f>C31*D31</f>
        <v>0</v>
      </c>
      <c r="G31" s="551"/>
      <c r="H31" s="552"/>
      <c r="I31" s="553"/>
      <c r="K31" s="559"/>
    </row>
    <row r="32" spans="1:11" ht="14.45" x14ac:dyDescent="0.3">
      <c r="A32" s="366" t="s">
        <v>1483</v>
      </c>
      <c r="B32" s="549"/>
      <c r="C32" s="550"/>
      <c r="D32" s="783"/>
      <c r="E32" s="395"/>
      <c r="F32" s="369">
        <f>C32*D32</f>
        <v>0</v>
      </c>
      <c r="G32" s="551"/>
      <c r="H32" s="552"/>
      <c r="I32" s="553"/>
      <c r="K32" s="559"/>
    </row>
    <row r="33" spans="1:8" ht="13.15" x14ac:dyDescent="0.3">
      <c r="A33" s="1444" t="s">
        <v>545</v>
      </c>
      <c r="B33" s="1444"/>
      <c r="C33" s="1444"/>
      <c r="D33" s="1444"/>
      <c r="E33" s="827"/>
      <c r="F33" s="370">
        <f>SUM(F13:F32)</f>
        <v>0</v>
      </c>
      <c r="G33" s="1444" t="s">
        <v>1188</v>
      </c>
      <c r="H33" s="1444"/>
    </row>
    <row r="34" spans="1:8" ht="13.15" x14ac:dyDescent="0.3">
      <c r="A34" s="359"/>
      <c r="B34" s="359"/>
      <c r="C34" s="372"/>
      <c r="D34" s="779"/>
      <c r="E34" s="358"/>
      <c r="F34" s="358"/>
      <c r="G34" s="359"/>
      <c r="H34" s="362"/>
    </row>
    <row r="35" spans="1:8" ht="13.9" x14ac:dyDescent="0.25">
      <c r="A35" s="359"/>
      <c r="B35" s="359"/>
      <c r="C35" s="357"/>
      <c r="D35" s="779"/>
      <c r="E35" s="358"/>
      <c r="F35" s="358"/>
      <c r="G35" s="359"/>
      <c r="H35" s="44" t="s">
        <v>82</v>
      </c>
    </row>
    <row r="36" spans="1:8" ht="15" x14ac:dyDescent="0.25">
      <c r="A36" s="359"/>
      <c r="B36" s="359"/>
      <c r="C36" s="357"/>
      <c r="D36" s="779"/>
      <c r="E36" s="358"/>
      <c r="F36" s="358"/>
      <c r="G36" s="359"/>
      <c r="H36" s="45" t="s">
        <v>1448</v>
      </c>
    </row>
    <row r="37" spans="1:8" ht="13.9" x14ac:dyDescent="0.25">
      <c r="A37" s="359"/>
      <c r="B37" s="359"/>
      <c r="C37" s="357"/>
      <c r="D37" s="779"/>
      <c r="E37" s="358"/>
      <c r="F37" s="358"/>
      <c r="G37" s="359"/>
      <c r="H37" s="44" t="s">
        <v>1516</v>
      </c>
    </row>
    <row r="38" spans="1:8" ht="13.9" x14ac:dyDescent="0.25">
      <c r="A38" s="359"/>
      <c r="B38" s="359"/>
      <c r="C38" s="357"/>
      <c r="D38" s="779"/>
      <c r="E38" s="358"/>
      <c r="F38" s="358"/>
      <c r="G38" s="359"/>
      <c r="H38" s="45" t="s">
        <v>83</v>
      </c>
    </row>
    <row r="39" spans="1:8" ht="13.9" x14ac:dyDescent="0.25">
      <c r="A39" s="359"/>
      <c r="B39" s="359"/>
      <c r="C39" s="357"/>
      <c r="D39" s="779"/>
      <c r="E39" s="358"/>
      <c r="F39" s="358"/>
      <c r="G39" s="359"/>
      <c r="H39" s="45" t="s">
        <v>1517</v>
      </c>
    </row>
    <row r="40" spans="1:8" ht="13.15" x14ac:dyDescent="0.3">
      <c r="A40" s="359"/>
      <c r="B40" s="359"/>
      <c r="C40" s="357"/>
      <c r="D40" s="779"/>
      <c r="E40" s="358"/>
      <c r="F40" s="358"/>
      <c r="G40" s="359"/>
      <c r="H40" s="362"/>
    </row>
    <row r="42" spans="1:8" ht="13.15" x14ac:dyDescent="0.3">
      <c r="A42" s="378"/>
    </row>
    <row r="43" spans="1:8" ht="13.15" x14ac:dyDescent="0.3">
      <c r="A43" s="378"/>
      <c r="H43" s="389"/>
    </row>
    <row r="44" spans="1:8" x14ac:dyDescent="0.25">
      <c r="A44" s="378"/>
    </row>
    <row r="45" spans="1:8" x14ac:dyDescent="0.25">
      <c r="A45" s="378"/>
      <c r="H45" s="389"/>
    </row>
    <row r="46" spans="1:8" x14ac:dyDescent="0.25">
      <c r="A46" s="378"/>
    </row>
    <row r="47" spans="1:8" x14ac:dyDescent="0.25">
      <c r="A47" s="378"/>
      <c r="H47" s="389"/>
    </row>
    <row r="48" spans="1:8" x14ac:dyDescent="0.25">
      <c r="A48" s="378"/>
    </row>
    <row r="49" spans="1:13" x14ac:dyDescent="0.25">
      <c r="A49" s="378"/>
    </row>
    <row r="50" spans="1:13" x14ac:dyDescent="0.25">
      <c r="A50" s="378"/>
      <c r="H50" s="389"/>
    </row>
    <row r="51" spans="1:13" x14ac:dyDescent="0.25">
      <c r="A51" s="378"/>
      <c r="I51" s="374"/>
      <c r="J51" s="374"/>
      <c r="K51" s="374"/>
      <c r="L51" s="374"/>
      <c r="M51" s="374"/>
    </row>
    <row r="52" spans="1:13" x14ac:dyDescent="0.25">
      <c r="A52" s="378"/>
      <c r="H52" s="389"/>
      <c r="I52" s="374"/>
      <c r="J52" s="374"/>
      <c r="K52" s="374"/>
      <c r="L52" s="374"/>
      <c r="M52" s="374"/>
    </row>
    <row r="53" spans="1:13" x14ac:dyDescent="0.25">
      <c r="A53" s="378"/>
      <c r="I53" s="374"/>
      <c r="J53" s="374"/>
      <c r="K53" s="374"/>
      <c r="L53" s="374"/>
      <c r="M53" s="374"/>
    </row>
    <row r="54" spans="1:13" x14ac:dyDescent="0.25">
      <c r="A54" s="378"/>
      <c r="I54" s="374"/>
      <c r="J54" s="374"/>
      <c r="K54" s="374"/>
      <c r="L54" s="374"/>
      <c r="M54" s="374"/>
    </row>
    <row r="55" spans="1:13" x14ac:dyDescent="0.25">
      <c r="A55" s="378"/>
      <c r="H55" s="389"/>
      <c r="I55" s="374"/>
      <c r="J55" s="374"/>
      <c r="K55" s="374"/>
      <c r="L55" s="374"/>
      <c r="M55" s="374"/>
    </row>
    <row r="56" spans="1:13" x14ac:dyDescent="0.25">
      <c r="A56" s="378"/>
      <c r="B56" s="363"/>
      <c r="H56" s="389"/>
      <c r="I56" s="374"/>
      <c r="J56" s="374"/>
      <c r="K56" s="374"/>
      <c r="L56" s="374"/>
      <c r="M56" s="374"/>
    </row>
    <row r="57" spans="1:13" x14ac:dyDescent="0.25">
      <c r="A57" s="378"/>
      <c r="H57" s="389"/>
      <c r="I57" s="374"/>
      <c r="J57" s="374"/>
      <c r="K57" s="374"/>
      <c r="L57" s="374"/>
      <c r="M57" s="374"/>
    </row>
    <row r="58" spans="1:13" x14ac:dyDescent="0.25">
      <c r="A58" s="378"/>
      <c r="H58" s="389"/>
      <c r="I58" s="374"/>
      <c r="J58" s="374"/>
      <c r="K58" s="374"/>
      <c r="L58" s="374"/>
      <c r="M58" s="374"/>
    </row>
    <row r="59" spans="1:13" x14ac:dyDescent="0.25">
      <c r="A59" s="378"/>
      <c r="H59" s="389"/>
      <c r="I59" s="374"/>
      <c r="J59" s="374"/>
      <c r="K59" s="374"/>
      <c r="L59" s="374"/>
      <c r="M59" s="374"/>
    </row>
    <row r="60" spans="1:13" x14ac:dyDescent="0.25">
      <c r="A60" s="378"/>
      <c r="H60" s="389"/>
      <c r="I60" s="374"/>
      <c r="J60" s="374"/>
      <c r="K60" s="374"/>
      <c r="L60" s="374"/>
      <c r="M60" s="374"/>
    </row>
    <row r="61" spans="1:13" x14ac:dyDescent="0.25">
      <c r="A61" s="378"/>
      <c r="H61" s="389"/>
      <c r="I61" s="374"/>
      <c r="J61" s="374"/>
      <c r="K61" s="374"/>
      <c r="L61" s="374"/>
      <c r="M61" s="374"/>
    </row>
    <row r="62" spans="1:13" x14ac:dyDescent="0.25">
      <c r="A62" s="378"/>
      <c r="H62" s="389"/>
      <c r="I62" s="374"/>
      <c r="J62" s="374"/>
      <c r="K62" s="374"/>
      <c r="L62" s="374"/>
      <c r="M62" s="374"/>
    </row>
    <row r="63" spans="1:13" x14ac:dyDescent="0.25">
      <c r="A63" s="376"/>
      <c r="D63" s="786"/>
      <c r="E63" s="380"/>
      <c r="F63" s="380"/>
      <c r="G63" s="374"/>
      <c r="I63" s="374"/>
      <c r="J63" s="374"/>
      <c r="K63" s="374"/>
      <c r="L63" s="374"/>
      <c r="M63" s="374"/>
    </row>
    <row r="64" spans="1:13" x14ac:dyDescent="0.25">
      <c r="A64" s="376"/>
      <c r="D64" s="786"/>
      <c r="E64" s="380"/>
      <c r="F64" s="380"/>
      <c r="G64" s="374"/>
      <c r="I64" s="374"/>
      <c r="J64" s="374"/>
      <c r="K64" s="374"/>
      <c r="L64" s="374"/>
      <c r="M64" s="374"/>
    </row>
    <row r="65" spans="1:13" x14ac:dyDescent="0.25">
      <c r="D65" s="786"/>
      <c r="E65" s="380"/>
      <c r="F65" s="380"/>
      <c r="G65" s="374"/>
      <c r="I65" s="374"/>
      <c r="J65" s="374"/>
      <c r="K65" s="374"/>
      <c r="L65" s="374"/>
      <c r="M65" s="374"/>
    </row>
    <row r="66" spans="1:13" x14ac:dyDescent="0.25">
      <c r="D66" s="786"/>
      <c r="E66" s="380"/>
      <c r="F66" s="380"/>
      <c r="G66" s="374"/>
      <c r="I66" s="374"/>
      <c r="J66" s="374"/>
      <c r="K66" s="374"/>
      <c r="L66" s="374"/>
      <c r="M66" s="374"/>
    </row>
    <row r="67" spans="1:13" x14ac:dyDescent="0.25">
      <c r="A67" s="376"/>
      <c r="D67" s="786"/>
      <c r="E67" s="380"/>
      <c r="F67" s="380"/>
      <c r="G67" s="374"/>
      <c r="I67" s="374"/>
      <c r="J67" s="374"/>
      <c r="K67" s="374"/>
      <c r="L67" s="374"/>
      <c r="M67" s="374"/>
    </row>
    <row r="68" spans="1:13" x14ac:dyDescent="0.25">
      <c r="A68" s="376"/>
      <c r="D68" s="786"/>
      <c r="E68" s="380"/>
      <c r="F68" s="380"/>
      <c r="G68" s="374"/>
      <c r="I68" s="374"/>
      <c r="J68" s="374"/>
      <c r="K68" s="374"/>
      <c r="L68" s="374"/>
      <c r="M68" s="374"/>
    </row>
    <row r="69" spans="1:13" x14ac:dyDescent="0.25">
      <c r="A69" s="376"/>
      <c r="D69" s="786"/>
      <c r="E69" s="380"/>
      <c r="F69" s="380"/>
      <c r="G69" s="374"/>
      <c r="I69" s="374"/>
      <c r="J69" s="374"/>
      <c r="K69" s="374"/>
      <c r="L69" s="374"/>
      <c r="M69" s="374"/>
    </row>
    <row r="70" spans="1:13" x14ac:dyDescent="0.25">
      <c r="A70" s="376"/>
      <c r="D70" s="786"/>
      <c r="E70" s="380"/>
      <c r="F70" s="380"/>
      <c r="G70" s="374"/>
      <c r="I70" s="374"/>
      <c r="J70" s="374"/>
      <c r="K70" s="374"/>
      <c r="L70" s="374"/>
      <c r="M70" s="374"/>
    </row>
    <row r="71" spans="1:13" x14ac:dyDescent="0.25">
      <c r="A71" s="376"/>
      <c r="D71" s="786"/>
      <c r="E71" s="380"/>
      <c r="F71" s="380"/>
      <c r="G71" s="374"/>
      <c r="I71" s="374"/>
      <c r="J71" s="374"/>
      <c r="K71" s="374"/>
      <c r="L71" s="374"/>
      <c r="M71" s="374"/>
    </row>
    <row r="72" spans="1:13" x14ac:dyDescent="0.25">
      <c r="A72" s="376"/>
      <c r="D72" s="786"/>
      <c r="E72" s="380"/>
      <c r="F72" s="380"/>
      <c r="G72" s="374"/>
      <c r="I72" s="374"/>
      <c r="J72" s="374"/>
      <c r="K72" s="374"/>
      <c r="L72" s="374"/>
      <c r="M72" s="374"/>
    </row>
    <row r="73" spans="1:13" x14ac:dyDescent="0.25">
      <c r="A73" s="376"/>
      <c r="D73" s="786"/>
      <c r="E73" s="380"/>
      <c r="F73" s="380"/>
      <c r="G73" s="374"/>
      <c r="I73" s="374"/>
      <c r="J73" s="374"/>
      <c r="K73" s="374"/>
      <c r="L73" s="374"/>
      <c r="M73" s="374"/>
    </row>
    <row r="74" spans="1:13" x14ac:dyDescent="0.25">
      <c r="A74" s="376"/>
      <c r="D74" s="786"/>
      <c r="E74" s="380"/>
      <c r="F74" s="380"/>
      <c r="G74" s="374"/>
      <c r="I74" s="374"/>
      <c r="J74" s="374"/>
      <c r="K74" s="374"/>
      <c r="L74" s="374"/>
      <c r="M74" s="374"/>
    </row>
    <row r="75" spans="1:13" x14ac:dyDescent="0.25">
      <c r="A75" s="376"/>
      <c r="D75" s="786"/>
      <c r="E75" s="380"/>
      <c r="F75" s="380"/>
      <c r="G75" s="374"/>
      <c r="I75" s="374"/>
      <c r="J75" s="374"/>
      <c r="K75" s="374"/>
      <c r="L75" s="374"/>
      <c r="M75" s="374"/>
    </row>
    <row r="76" spans="1:13" x14ac:dyDescent="0.25">
      <c r="A76" s="376"/>
      <c r="D76" s="786"/>
      <c r="E76" s="380"/>
      <c r="F76" s="380"/>
      <c r="G76" s="374"/>
      <c r="I76" s="374"/>
      <c r="J76" s="374"/>
      <c r="K76" s="374"/>
      <c r="L76" s="374"/>
      <c r="M76" s="374"/>
    </row>
    <row r="77" spans="1:13" x14ac:dyDescent="0.25">
      <c r="A77" s="376"/>
      <c r="D77" s="786"/>
      <c r="E77" s="380"/>
      <c r="F77" s="380"/>
      <c r="G77" s="374"/>
      <c r="I77" s="374"/>
      <c r="J77" s="374"/>
      <c r="K77" s="374"/>
      <c r="L77" s="374"/>
      <c r="M77" s="374"/>
    </row>
    <row r="78" spans="1:13" x14ac:dyDescent="0.25">
      <c r="A78" s="376"/>
      <c r="D78" s="786"/>
      <c r="E78" s="380"/>
      <c r="F78" s="380"/>
      <c r="G78" s="374"/>
      <c r="I78" s="374"/>
      <c r="J78" s="374"/>
      <c r="K78" s="374"/>
      <c r="L78" s="374"/>
      <c r="M78" s="374"/>
    </row>
    <row r="79" spans="1:13" x14ac:dyDescent="0.25">
      <c r="A79" s="376"/>
      <c r="D79" s="786"/>
      <c r="E79" s="380"/>
      <c r="F79" s="380"/>
      <c r="G79" s="374"/>
      <c r="I79" s="374"/>
      <c r="J79" s="374"/>
      <c r="K79" s="374"/>
      <c r="L79" s="374"/>
      <c r="M79" s="374"/>
    </row>
    <row r="80" spans="1:13" x14ac:dyDescent="0.25">
      <c r="A80" s="376"/>
      <c r="D80" s="786"/>
      <c r="E80" s="380"/>
      <c r="F80" s="380"/>
      <c r="G80" s="374"/>
      <c r="I80" s="374"/>
      <c r="J80" s="374"/>
      <c r="K80" s="374"/>
      <c r="L80" s="374"/>
      <c r="M80" s="374"/>
    </row>
    <row r="81" spans="1:14" x14ac:dyDescent="0.25">
      <c r="A81" s="376"/>
      <c r="D81" s="786"/>
      <c r="E81" s="380"/>
      <c r="F81" s="380"/>
      <c r="G81" s="374"/>
      <c r="I81" s="374"/>
      <c r="J81" s="374"/>
      <c r="K81" s="374"/>
      <c r="L81" s="374"/>
      <c r="M81" s="374"/>
    </row>
    <row r="82" spans="1:14" x14ac:dyDescent="0.25">
      <c r="A82" s="376"/>
      <c r="D82" s="786"/>
      <c r="E82" s="380"/>
      <c r="F82" s="380"/>
      <c r="G82" s="374"/>
      <c r="I82" s="374"/>
      <c r="J82" s="374"/>
      <c r="K82" s="374"/>
      <c r="L82" s="374"/>
      <c r="M82" s="374"/>
    </row>
    <row r="83" spans="1:14" x14ac:dyDescent="0.25">
      <c r="D83" s="786"/>
      <c r="E83" s="380"/>
      <c r="F83" s="380"/>
      <c r="G83" s="374"/>
      <c r="I83" s="374"/>
      <c r="J83" s="374"/>
      <c r="K83" s="374"/>
      <c r="L83" s="374"/>
      <c r="M83" s="374"/>
    </row>
    <row r="84" spans="1:14" x14ac:dyDescent="0.25">
      <c r="D84" s="786"/>
      <c r="E84" s="380"/>
      <c r="F84" s="380"/>
      <c r="G84" s="374"/>
      <c r="I84" s="374"/>
      <c r="J84" s="374"/>
      <c r="K84" s="374"/>
      <c r="L84" s="374"/>
      <c r="M84" s="374"/>
    </row>
    <row r="85" spans="1:14" x14ac:dyDescent="0.25">
      <c r="D85" s="786"/>
      <c r="E85" s="380"/>
      <c r="F85" s="380"/>
      <c r="G85" s="374"/>
      <c r="I85" s="374"/>
      <c r="J85" s="374"/>
      <c r="K85" s="374"/>
      <c r="L85" s="374"/>
      <c r="M85" s="374"/>
    </row>
    <row r="86" spans="1:14" x14ac:dyDescent="0.25">
      <c r="A86" s="376"/>
      <c r="D86" s="786"/>
      <c r="E86" s="380"/>
      <c r="F86" s="380"/>
      <c r="G86" s="374"/>
      <c r="I86" s="374"/>
      <c r="J86" s="374"/>
      <c r="K86" s="374"/>
      <c r="L86" s="374"/>
      <c r="M86" s="374"/>
    </row>
    <row r="87" spans="1:14" x14ac:dyDescent="0.25">
      <c r="A87" s="376"/>
      <c r="D87" s="786"/>
      <c r="E87" s="380"/>
      <c r="F87" s="380"/>
      <c r="G87" s="374"/>
      <c r="I87" s="374"/>
      <c r="J87" s="374"/>
      <c r="K87" s="374"/>
      <c r="L87" s="374"/>
      <c r="M87" s="374"/>
    </row>
    <row r="88" spans="1:14" x14ac:dyDescent="0.25">
      <c r="A88" s="376"/>
      <c r="D88" s="786"/>
      <c r="E88" s="380"/>
      <c r="F88" s="380"/>
      <c r="G88" s="374"/>
      <c r="I88" s="374"/>
      <c r="J88" s="374"/>
      <c r="K88" s="374"/>
      <c r="L88" s="374"/>
      <c r="M88" s="374"/>
    </row>
    <row r="89" spans="1:14" x14ac:dyDescent="0.25">
      <c r="A89" s="376"/>
      <c r="D89" s="786"/>
      <c r="E89" s="380"/>
      <c r="F89" s="380"/>
      <c r="G89" s="374"/>
      <c r="I89" s="374"/>
      <c r="J89" s="374"/>
      <c r="K89" s="374"/>
      <c r="L89" s="374"/>
      <c r="M89" s="374"/>
    </row>
    <row r="90" spans="1:14" x14ac:dyDescent="0.25">
      <c r="A90" s="376"/>
      <c r="D90" s="786"/>
      <c r="E90" s="380"/>
      <c r="F90" s="380"/>
      <c r="G90" s="374"/>
      <c r="I90" s="374"/>
      <c r="J90" s="374"/>
      <c r="K90" s="374"/>
      <c r="L90" s="374"/>
      <c r="M90" s="374"/>
    </row>
    <row r="91" spans="1:14" x14ac:dyDescent="0.25">
      <c r="A91" s="376"/>
      <c r="D91" s="786"/>
      <c r="E91" s="380"/>
      <c r="F91" s="380"/>
      <c r="G91" s="374"/>
      <c r="I91" s="374"/>
      <c r="J91" s="374"/>
      <c r="K91" s="374"/>
      <c r="L91" s="374"/>
      <c r="M91" s="374"/>
    </row>
    <row r="92" spans="1:14" x14ac:dyDescent="0.25">
      <c r="A92" s="376"/>
      <c r="D92" s="786"/>
      <c r="E92" s="380"/>
      <c r="F92" s="380"/>
      <c r="G92" s="374"/>
      <c r="I92" s="374"/>
      <c r="J92" s="374"/>
      <c r="K92" s="374"/>
      <c r="L92" s="374"/>
      <c r="M92" s="374"/>
    </row>
    <row r="93" spans="1:14" x14ac:dyDescent="0.25">
      <c r="A93" s="376"/>
      <c r="D93" s="786"/>
      <c r="E93" s="380"/>
      <c r="F93" s="380"/>
      <c r="G93" s="374"/>
      <c r="I93" s="374"/>
      <c r="J93" s="374"/>
      <c r="K93" s="374"/>
      <c r="L93" s="374"/>
      <c r="M93" s="374"/>
    </row>
    <row r="94" spans="1:14" x14ac:dyDescent="0.25">
      <c r="D94" s="786"/>
      <c r="E94" s="380"/>
      <c r="F94" s="380"/>
      <c r="G94" s="374"/>
      <c r="I94" s="374"/>
      <c r="J94" s="374"/>
      <c r="K94" s="374"/>
      <c r="L94" s="374"/>
      <c r="M94" s="374"/>
    </row>
    <row r="95" spans="1:14" x14ac:dyDescent="0.25">
      <c r="C95" s="381"/>
      <c r="D95" s="787"/>
      <c r="E95" s="382"/>
    </row>
    <row r="96" spans="1:14" s="375" customFormat="1" x14ac:dyDescent="0.25">
      <c r="A96" s="376"/>
      <c r="B96" s="360"/>
      <c r="C96" s="381"/>
      <c r="D96" s="787"/>
      <c r="E96" s="382"/>
      <c r="G96" s="360"/>
      <c r="H96" s="373"/>
      <c r="I96" s="360"/>
      <c r="J96" s="360"/>
      <c r="K96" s="360"/>
      <c r="L96" s="360"/>
      <c r="M96" s="360"/>
      <c r="N96" s="360"/>
    </row>
    <row r="97" spans="1:14" s="375" customFormat="1" x14ac:dyDescent="0.25">
      <c r="A97" s="376"/>
      <c r="B97" s="360"/>
      <c r="C97" s="381"/>
      <c r="D97" s="787"/>
      <c r="E97" s="382"/>
      <c r="G97" s="360"/>
      <c r="H97" s="373"/>
      <c r="I97" s="360"/>
      <c r="J97" s="360"/>
      <c r="K97" s="360"/>
      <c r="L97" s="360"/>
      <c r="M97" s="360"/>
      <c r="N97" s="360"/>
    </row>
    <row r="98" spans="1:14" s="375" customFormat="1" x14ac:dyDescent="0.25">
      <c r="A98" s="376"/>
      <c r="B98" s="360"/>
      <c r="C98" s="381"/>
      <c r="D98" s="787"/>
      <c r="E98" s="382"/>
      <c r="G98" s="360"/>
      <c r="H98" s="373"/>
      <c r="I98" s="360"/>
      <c r="J98" s="360"/>
      <c r="K98" s="360"/>
      <c r="L98" s="360"/>
      <c r="M98" s="360"/>
      <c r="N98" s="360"/>
    </row>
    <row r="99" spans="1:14" s="375" customFormat="1" x14ac:dyDescent="0.25">
      <c r="A99" s="376"/>
      <c r="B99" s="360"/>
      <c r="C99" s="381"/>
      <c r="D99" s="787"/>
      <c r="E99" s="382"/>
      <c r="G99" s="360"/>
      <c r="H99" s="373"/>
      <c r="I99" s="360"/>
      <c r="J99" s="360"/>
      <c r="K99" s="360"/>
      <c r="L99" s="360"/>
      <c r="M99" s="360"/>
      <c r="N99" s="360"/>
    </row>
    <row r="100" spans="1:14" s="375" customFormat="1" x14ac:dyDescent="0.25">
      <c r="A100" s="376"/>
      <c r="B100" s="360"/>
      <c r="C100" s="381"/>
      <c r="D100" s="787"/>
      <c r="E100" s="382"/>
      <c r="G100" s="360"/>
      <c r="H100" s="373"/>
      <c r="I100" s="360"/>
      <c r="J100" s="360"/>
      <c r="K100" s="360"/>
      <c r="L100" s="360"/>
      <c r="M100" s="360"/>
      <c r="N100" s="360"/>
    </row>
    <row r="101" spans="1:14" s="375" customFormat="1" x14ac:dyDescent="0.25">
      <c r="A101" s="376"/>
      <c r="B101" s="360"/>
      <c r="C101" s="381"/>
      <c r="D101" s="787"/>
      <c r="E101" s="382"/>
      <c r="G101" s="360"/>
      <c r="H101" s="373"/>
      <c r="I101" s="360"/>
      <c r="J101" s="360"/>
      <c r="K101" s="360"/>
      <c r="L101" s="360"/>
      <c r="M101" s="360"/>
      <c r="N101" s="360"/>
    </row>
    <row r="102" spans="1:14" s="375" customFormat="1" x14ac:dyDescent="0.25">
      <c r="A102" s="376"/>
      <c r="B102" s="360"/>
      <c r="C102" s="374"/>
      <c r="D102" s="787"/>
      <c r="E102" s="382"/>
      <c r="G102" s="360"/>
      <c r="H102" s="373"/>
      <c r="I102" s="360"/>
      <c r="J102" s="360"/>
      <c r="K102" s="360"/>
      <c r="L102" s="360"/>
      <c r="M102" s="360"/>
      <c r="N102" s="360"/>
    </row>
    <row r="103" spans="1:14" s="375" customFormat="1" x14ac:dyDescent="0.25">
      <c r="A103" s="376"/>
      <c r="B103" s="360"/>
      <c r="C103" s="374"/>
      <c r="D103" s="787"/>
      <c r="E103" s="382"/>
      <c r="G103" s="360"/>
      <c r="H103" s="373"/>
      <c r="I103" s="360"/>
      <c r="J103" s="360"/>
      <c r="K103" s="360"/>
      <c r="L103" s="360"/>
      <c r="M103" s="360"/>
      <c r="N103" s="360"/>
    </row>
    <row r="104" spans="1:14" s="375" customFormat="1" x14ac:dyDescent="0.25">
      <c r="A104" s="376"/>
      <c r="B104" s="360"/>
      <c r="C104" s="381"/>
      <c r="D104" s="787"/>
      <c r="E104" s="382"/>
      <c r="G104" s="360"/>
      <c r="H104" s="373"/>
      <c r="I104" s="360"/>
      <c r="J104" s="360"/>
      <c r="K104" s="360"/>
      <c r="L104" s="360"/>
      <c r="M104" s="360"/>
      <c r="N104" s="360"/>
    </row>
    <row r="105" spans="1:14" s="375" customFormat="1" x14ac:dyDescent="0.25">
      <c r="A105" s="376"/>
      <c r="B105" s="360"/>
      <c r="C105" s="381"/>
      <c r="D105" s="787"/>
      <c r="E105" s="382"/>
      <c r="G105" s="360"/>
      <c r="H105" s="373"/>
      <c r="I105" s="360"/>
      <c r="J105" s="360"/>
      <c r="K105" s="360"/>
      <c r="L105" s="360"/>
      <c r="M105" s="360"/>
      <c r="N105" s="360"/>
    </row>
    <row r="106" spans="1:14" s="375" customFormat="1" x14ac:dyDescent="0.25">
      <c r="A106" s="376"/>
      <c r="B106" s="360"/>
      <c r="C106" s="381"/>
      <c r="D106" s="787"/>
      <c r="E106" s="382"/>
      <c r="G106" s="360"/>
      <c r="H106" s="373"/>
      <c r="I106" s="360"/>
      <c r="J106" s="360"/>
      <c r="K106" s="360"/>
      <c r="L106" s="360"/>
      <c r="M106" s="360"/>
      <c r="N106" s="360"/>
    </row>
    <row r="107" spans="1:14" s="375" customFormat="1" x14ac:dyDescent="0.25">
      <c r="A107" s="376"/>
      <c r="B107" s="360"/>
      <c r="C107" s="381"/>
      <c r="D107" s="787"/>
      <c r="E107" s="382"/>
      <c r="G107" s="360"/>
      <c r="H107" s="373"/>
      <c r="I107" s="360"/>
      <c r="J107" s="360"/>
      <c r="K107" s="360"/>
      <c r="L107" s="360"/>
      <c r="M107" s="360"/>
      <c r="N107" s="360"/>
    </row>
    <row r="108" spans="1:14" s="375" customFormat="1" x14ac:dyDescent="0.25">
      <c r="A108" s="376"/>
      <c r="B108" s="360"/>
      <c r="C108" s="381"/>
      <c r="D108" s="787"/>
      <c r="E108" s="382"/>
      <c r="G108" s="360"/>
      <c r="H108" s="373"/>
      <c r="I108" s="360"/>
      <c r="J108" s="360"/>
      <c r="K108" s="360"/>
      <c r="L108" s="360"/>
      <c r="M108" s="360"/>
      <c r="N108" s="360"/>
    </row>
    <row r="109" spans="1:14" s="375" customFormat="1" x14ac:dyDescent="0.25">
      <c r="A109" s="376"/>
      <c r="B109" s="360"/>
      <c r="C109" s="381"/>
      <c r="D109" s="787"/>
      <c r="E109" s="382"/>
      <c r="G109" s="360"/>
      <c r="H109" s="373"/>
      <c r="I109" s="360"/>
      <c r="J109" s="360"/>
      <c r="K109" s="360"/>
      <c r="L109" s="360"/>
      <c r="M109" s="360"/>
      <c r="N109" s="360"/>
    </row>
    <row r="110" spans="1:14" s="375" customFormat="1" x14ac:dyDescent="0.25">
      <c r="A110" s="360"/>
      <c r="B110" s="360"/>
      <c r="C110" s="381"/>
      <c r="D110" s="787"/>
      <c r="E110" s="382"/>
      <c r="G110" s="360"/>
      <c r="H110" s="373"/>
      <c r="I110" s="360"/>
      <c r="J110" s="360"/>
      <c r="K110" s="360"/>
      <c r="L110" s="360"/>
      <c r="M110" s="360"/>
      <c r="N110" s="360"/>
    </row>
    <row r="111" spans="1:14" s="375" customFormat="1" x14ac:dyDescent="0.25">
      <c r="A111" s="360"/>
      <c r="B111" s="360"/>
      <c r="C111" s="381"/>
      <c r="D111" s="787"/>
      <c r="E111" s="382"/>
      <c r="G111" s="360"/>
      <c r="H111" s="373"/>
      <c r="I111" s="360"/>
      <c r="J111" s="360"/>
      <c r="K111" s="360"/>
      <c r="L111" s="360"/>
      <c r="M111" s="360"/>
      <c r="N111" s="360"/>
    </row>
    <row r="112" spans="1:14" x14ac:dyDescent="0.25">
      <c r="C112" s="381"/>
      <c r="D112" s="787"/>
      <c r="E112" s="382"/>
    </row>
    <row r="113" spans="1:13" x14ac:dyDescent="0.25">
      <c r="C113" s="381"/>
      <c r="D113" s="787"/>
      <c r="E113" s="382"/>
    </row>
    <row r="114" spans="1:13" x14ac:dyDescent="0.25">
      <c r="C114" s="381"/>
      <c r="D114" s="787"/>
      <c r="E114" s="382"/>
    </row>
    <row r="115" spans="1:13" x14ac:dyDescent="0.25">
      <c r="C115" s="381"/>
      <c r="D115" s="787"/>
      <c r="E115" s="382"/>
    </row>
    <row r="116" spans="1:13" x14ac:dyDescent="0.25">
      <c r="C116" s="381"/>
      <c r="D116" s="787"/>
      <c r="E116" s="382"/>
    </row>
    <row r="117" spans="1:13" x14ac:dyDescent="0.25">
      <c r="C117" s="381"/>
      <c r="D117" s="787"/>
      <c r="E117" s="382"/>
    </row>
    <row r="118" spans="1:13" x14ac:dyDescent="0.25">
      <c r="C118" s="381"/>
      <c r="D118" s="787"/>
      <c r="E118" s="382"/>
    </row>
    <row r="119" spans="1:13" x14ac:dyDescent="0.25">
      <c r="C119" s="381"/>
      <c r="D119" s="787"/>
      <c r="E119" s="382"/>
    </row>
    <row r="120" spans="1:13" x14ac:dyDescent="0.25">
      <c r="C120" s="381"/>
      <c r="D120" s="787"/>
      <c r="E120" s="382"/>
    </row>
    <row r="121" spans="1:13" x14ac:dyDescent="0.25">
      <c r="A121" s="383"/>
      <c r="C121" s="384"/>
      <c r="D121" s="786"/>
      <c r="E121" s="380"/>
      <c r="G121" s="385"/>
      <c r="H121" s="386"/>
      <c r="I121" s="385"/>
      <c r="J121" s="385"/>
      <c r="K121" s="385"/>
      <c r="L121" s="385"/>
      <c r="M121" s="385"/>
    </row>
    <row r="122" spans="1:13" x14ac:dyDescent="0.25">
      <c r="A122" s="383"/>
      <c r="B122" s="385"/>
      <c r="C122" s="384"/>
      <c r="D122" s="786"/>
      <c r="E122" s="380"/>
      <c r="F122" s="380"/>
      <c r="G122" s="387"/>
      <c r="H122" s="569"/>
      <c r="I122" s="387"/>
      <c r="J122" s="387"/>
      <c r="K122" s="387"/>
      <c r="L122" s="387"/>
      <c r="M122" s="387"/>
    </row>
    <row r="123" spans="1:13" x14ac:dyDescent="0.25">
      <c r="A123" s="383"/>
      <c r="B123" s="385"/>
      <c r="C123" s="384"/>
      <c r="G123" s="385"/>
      <c r="H123" s="386"/>
      <c r="I123" s="385"/>
      <c r="J123" s="385"/>
      <c r="K123" s="385"/>
      <c r="L123" s="385"/>
      <c r="M123" s="385"/>
    </row>
    <row r="124" spans="1:13" x14ac:dyDescent="0.25">
      <c r="A124" s="383"/>
      <c r="B124" s="385"/>
      <c r="C124" s="384"/>
      <c r="G124" s="385"/>
      <c r="H124" s="386"/>
      <c r="I124" s="385"/>
      <c r="J124" s="385"/>
      <c r="K124" s="385"/>
      <c r="L124" s="385"/>
      <c r="M124" s="385"/>
    </row>
    <row r="125" spans="1:13" x14ac:dyDescent="0.25">
      <c r="A125" s="383"/>
      <c r="C125" s="384"/>
      <c r="G125" s="385"/>
      <c r="H125" s="386"/>
      <c r="I125" s="385"/>
      <c r="J125" s="385"/>
      <c r="K125" s="385"/>
      <c r="L125" s="385"/>
      <c r="M125" s="385"/>
    </row>
    <row r="126" spans="1:13" x14ac:dyDescent="0.25">
      <c r="A126" s="383"/>
      <c r="C126" s="384"/>
      <c r="G126" s="385"/>
      <c r="H126" s="386"/>
      <c r="I126" s="385"/>
      <c r="J126" s="385"/>
      <c r="K126" s="385"/>
      <c r="L126" s="385"/>
      <c r="M126" s="385"/>
    </row>
    <row r="127" spans="1:13" x14ac:dyDescent="0.25">
      <c r="A127" s="383"/>
      <c r="B127" s="570"/>
      <c r="C127" s="384"/>
      <c r="G127" s="385"/>
      <c r="H127" s="386"/>
      <c r="I127" s="385"/>
      <c r="J127" s="385"/>
      <c r="K127" s="385"/>
      <c r="L127" s="385"/>
      <c r="M127" s="385"/>
    </row>
    <row r="128" spans="1:13" x14ac:dyDescent="0.25">
      <c r="A128" s="383"/>
      <c r="C128" s="384"/>
      <c r="G128" s="385"/>
      <c r="H128" s="386"/>
      <c r="I128" s="385"/>
      <c r="J128" s="385"/>
      <c r="K128" s="385"/>
      <c r="L128" s="385"/>
      <c r="M128" s="385"/>
    </row>
    <row r="129" spans="1:13" x14ac:dyDescent="0.25">
      <c r="A129" s="383"/>
      <c r="B129" s="385"/>
      <c r="C129" s="384"/>
      <c r="G129" s="385"/>
      <c r="H129" s="386"/>
      <c r="I129" s="385"/>
      <c r="J129" s="385"/>
      <c r="K129" s="385"/>
      <c r="L129" s="385"/>
      <c r="M129" s="385"/>
    </row>
    <row r="130" spans="1:13" x14ac:dyDescent="0.25">
      <c r="A130" s="383"/>
      <c r="B130" s="385"/>
      <c r="C130" s="384"/>
      <c r="G130" s="385"/>
      <c r="H130" s="386"/>
      <c r="I130" s="385"/>
      <c r="J130" s="385"/>
      <c r="K130" s="385"/>
      <c r="L130" s="385"/>
      <c r="M130" s="385"/>
    </row>
    <row r="131" spans="1:13" x14ac:dyDescent="0.25">
      <c r="A131" s="383"/>
      <c r="B131" s="385"/>
      <c r="C131" s="384"/>
      <c r="G131" s="385"/>
      <c r="H131" s="386"/>
      <c r="I131" s="385"/>
      <c r="J131" s="385"/>
      <c r="K131" s="385"/>
      <c r="L131" s="385"/>
      <c r="M131" s="385"/>
    </row>
    <row r="132" spans="1:13" x14ac:dyDescent="0.25">
      <c r="A132" s="383"/>
      <c r="B132" s="385"/>
      <c r="C132" s="384"/>
      <c r="G132" s="385"/>
      <c r="H132" s="386"/>
      <c r="I132" s="385"/>
      <c r="J132" s="385"/>
      <c r="K132" s="385"/>
      <c r="L132" s="385"/>
      <c r="M132" s="385"/>
    </row>
    <row r="133" spans="1:13" x14ac:dyDescent="0.25">
      <c r="A133" s="383"/>
      <c r="B133" s="385"/>
      <c r="C133" s="384"/>
      <c r="G133" s="385"/>
      <c r="H133" s="386"/>
      <c r="I133" s="385"/>
      <c r="J133" s="385"/>
      <c r="K133" s="385"/>
      <c r="L133" s="385"/>
      <c r="M133" s="385"/>
    </row>
    <row r="134" spans="1:13" x14ac:dyDescent="0.25">
      <c r="A134" s="383"/>
      <c r="B134" s="385"/>
      <c r="C134" s="384"/>
      <c r="G134" s="385"/>
      <c r="H134" s="386"/>
      <c r="I134" s="385"/>
      <c r="J134" s="385"/>
      <c r="K134" s="385"/>
      <c r="L134" s="385"/>
      <c r="M134" s="385"/>
    </row>
    <row r="135" spans="1:13" x14ac:dyDescent="0.25">
      <c r="C135" s="384"/>
      <c r="G135" s="385"/>
      <c r="H135" s="386"/>
      <c r="I135" s="385"/>
      <c r="J135" s="385"/>
      <c r="K135" s="385"/>
      <c r="L135" s="385"/>
      <c r="M135" s="385"/>
    </row>
    <row r="136" spans="1:13" x14ac:dyDescent="0.25">
      <c r="B136" s="385"/>
      <c r="C136" s="384"/>
      <c r="G136" s="385"/>
      <c r="H136" s="386"/>
      <c r="I136" s="385"/>
      <c r="J136" s="385"/>
      <c r="K136" s="385"/>
      <c r="L136" s="385"/>
      <c r="M136" s="385"/>
    </row>
    <row r="137" spans="1:13" x14ac:dyDescent="0.25">
      <c r="B137" s="385"/>
      <c r="C137" s="384"/>
      <c r="G137" s="385"/>
      <c r="H137" s="386"/>
      <c r="I137" s="385"/>
      <c r="J137" s="385"/>
      <c r="K137" s="385"/>
      <c r="L137" s="385"/>
      <c r="M137" s="385"/>
    </row>
    <row r="138" spans="1:13" x14ac:dyDescent="0.25">
      <c r="B138" s="385"/>
      <c r="C138" s="384"/>
      <c r="G138" s="385"/>
      <c r="H138" s="386"/>
      <c r="I138" s="385"/>
      <c r="J138" s="385"/>
      <c r="K138" s="385"/>
      <c r="L138" s="385"/>
      <c r="M138" s="385"/>
    </row>
    <row r="139" spans="1:13" x14ac:dyDescent="0.25">
      <c r="B139" s="570"/>
      <c r="C139" s="384"/>
      <c r="G139" s="385"/>
      <c r="H139" s="386"/>
      <c r="I139" s="385"/>
      <c r="J139" s="385"/>
      <c r="K139" s="385"/>
      <c r="L139" s="385"/>
      <c r="M139" s="385"/>
    </row>
    <row r="140" spans="1:13" x14ac:dyDescent="0.25">
      <c r="B140" s="385"/>
      <c r="C140" s="384"/>
      <c r="G140" s="385"/>
      <c r="H140" s="386"/>
      <c r="I140" s="385"/>
      <c r="J140" s="385"/>
      <c r="K140" s="385"/>
      <c r="L140" s="385"/>
      <c r="M140" s="385"/>
    </row>
    <row r="141" spans="1:13" x14ac:dyDescent="0.25">
      <c r="B141" s="385"/>
      <c r="C141" s="384"/>
      <c r="G141" s="385"/>
      <c r="H141" s="386"/>
      <c r="I141" s="385"/>
      <c r="J141" s="385"/>
      <c r="K141" s="385"/>
      <c r="L141" s="385"/>
      <c r="M141" s="385"/>
    </row>
    <row r="142" spans="1:13" x14ac:dyDescent="0.25">
      <c r="B142" s="385"/>
      <c r="C142" s="384"/>
      <c r="G142" s="385"/>
      <c r="H142" s="386"/>
      <c r="I142" s="385"/>
      <c r="J142" s="385"/>
      <c r="K142" s="385"/>
      <c r="L142" s="385"/>
      <c r="M142" s="385"/>
    </row>
    <row r="143" spans="1:13" x14ac:dyDescent="0.25">
      <c r="B143" s="385"/>
      <c r="C143" s="384"/>
      <c r="G143" s="385"/>
      <c r="H143" s="386"/>
      <c r="I143" s="385"/>
      <c r="J143" s="385"/>
      <c r="K143" s="385"/>
      <c r="L143" s="385"/>
      <c r="M143" s="385"/>
    </row>
    <row r="144" spans="1:13" x14ac:dyDescent="0.25">
      <c r="B144" s="385"/>
      <c r="C144" s="384"/>
      <c r="G144" s="385"/>
      <c r="H144" s="386"/>
      <c r="I144" s="385"/>
      <c r="J144" s="385"/>
      <c r="K144" s="385"/>
      <c r="L144" s="385"/>
      <c r="M144" s="385"/>
    </row>
    <row r="145" spans="2:13" x14ac:dyDescent="0.25">
      <c r="B145" s="385"/>
      <c r="C145" s="384"/>
      <c r="G145" s="385"/>
      <c r="H145" s="386"/>
      <c r="I145" s="385"/>
      <c r="J145" s="385"/>
      <c r="K145" s="385"/>
      <c r="L145" s="385"/>
      <c r="M145" s="385"/>
    </row>
    <row r="146" spans="2:13" x14ac:dyDescent="0.25">
      <c r="B146" s="385"/>
      <c r="C146" s="384"/>
      <c r="G146" s="385"/>
      <c r="H146" s="386"/>
      <c r="I146" s="385"/>
      <c r="J146" s="385"/>
      <c r="K146" s="385"/>
      <c r="L146" s="385"/>
      <c r="M146" s="385"/>
    </row>
    <row r="147" spans="2:13" x14ac:dyDescent="0.25">
      <c r="B147" s="385"/>
      <c r="C147" s="384"/>
      <c r="G147" s="385"/>
      <c r="H147" s="386"/>
      <c r="I147" s="385"/>
      <c r="J147" s="385"/>
      <c r="K147" s="385"/>
      <c r="L147" s="385"/>
      <c r="M147" s="385"/>
    </row>
    <row r="148" spans="2:13" x14ac:dyDescent="0.25">
      <c r="B148" s="379"/>
      <c r="C148" s="384"/>
      <c r="G148" s="385"/>
      <c r="H148" s="386"/>
      <c r="I148" s="385"/>
      <c r="J148" s="385"/>
      <c r="K148" s="385"/>
      <c r="L148" s="385"/>
      <c r="M148" s="385"/>
    </row>
    <row r="149" spans="2:13" x14ac:dyDescent="0.25">
      <c r="C149" s="384"/>
      <c r="G149" s="385"/>
      <c r="H149" s="386"/>
      <c r="I149" s="385"/>
      <c r="J149" s="385"/>
      <c r="K149" s="385"/>
      <c r="L149" s="385"/>
      <c r="M149" s="385"/>
    </row>
    <row r="150" spans="2:13" x14ac:dyDescent="0.25">
      <c r="B150" s="379"/>
      <c r="C150" s="384"/>
      <c r="G150" s="385"/>
      <c r="H150" s="386"/>
      <c r="I150" s="385"/>
      <c r="J150" s="385"/>
      <c r="K150" s="385"/>
      <c r="L150" s="385"/>
      <c r="M150" s="385"/>
    </row>
    <row r="151" spans="2:13" x14ac:dyDescent="0.25">
      <c r="C151" s="384"/>
      <c r="G151" s="385"/>
      <c r="H151" s="386"/>
      <c r="I151" s="385"/>
      <c r="J151" s="385"/>
      <c r="K151" s="385"/>
      <c r="L151" s="385"/>
      <c r="M151" s="385"/>
    </row>
    <row r="152" spans="2:13" x14ac:dyDescent="0.25">
      <c r="B152" s="385"/>
      <c r="C152" s="384"/>
      <c r="G152" s="385"/>
      <c r="H152" s="386"/>
      <c r="I152" s="385"/>
      <c r="J152" s="385"/>
      <c r="K152" s="385"/>
      <c r="L152" s="385"/>
      <c r="M152" s="385"/>
    </row>
    <row r="153" spans="2:13" x14ac:dyDescent="0.25">
      <c r="B153" s="385"/>
      <c r="C153" s="384"/>
      <c r="G153" s="385"/>
      <c r="H153" s="386"/>
      <c r="I153" s="385"/>
      <c r="J153" s="385"/>
      <c r="K153" s="385"/>
      <c r="L153" s="385"/>
      <c r="M153" s="385"/>
    </row>
    <row r="154" spans="2:13" x14ac:dyDescent="0.25">
      <c r="B154" s="385"/>
      <c r="C154" s="384"/>
      <c r="G154" s="385"/>
      <c r="H154" s="386"/>
      <c r="I154" s="385"/>
      <c r="J154" s="385"/>
      <c r="K154" s="385"/>
      <c r="L154" s="385"/>
      <c r="M154" s="385"/>
    </row>
    <row r="155" spans="2:13" x14ac:dyDescent="0.25">
      <c r="B155" s="379"/>
      <c r="C155" s="384"/>
      <c r="G155" s="385"/>
      <c r="H155" s="386"/>
      <c r="I155" s="385"/>
      <c r="J155" s="385"/>
      <c r="K155" s="385"/>
      <c r="L155" s="385"/>
      <c r="M155" s="385"/>
    </row>
    <row r="156" spans="2:13" x14ac:dyDescent="0.25">
      <c r="C156" s="384"/>
      <c r="G156" s="385"/>
      <c r="H156" s="386"/>
      <c r="I156" s="385"/>
      <c r="J156" s="385"/>
      <c r="K156" s="385"/>
      <c r="L156" s="385"/>
      <c r="M156" s="385"/>
    </row>
    <row r="157" spans="2:13" x14ac:dyDescent="0.25">
      <c r="B157" s="385"/>
      <c r="C157" s="384"/>
      <c r="G157" s="385"/>
      <c r="H157" s="386"/>
      <c r="I157" s="385"/>
      <c r="J157" s="385"/>
      <c r="K157" s="385"/>
      <c r="L157" s="385"/>
      <c r="M157" s="385"/>
    </row>
    <row r="158" spans="2:13" x14ac:dyDescent="0.25">
      <c r="B158" s="385"/>
      <c r="C158" s="384"/>
      <c r="G158" s="385"/>
      <c r="H158" s="386"/>
      <c r="I158" s="385"/>
      <c r="J158" s="385"/>
      <c r="K158" s="385"/>
      <c r="L158" s="385"/>
      <c r="M158" s="385"/>
    </row>
    <row r="159" spans="2:13" x14ac:dyDescent="0.25">
      <c r="B159" s="379"/>
      <c r="C159" s="384"/>
      <c r="G159" s="385"/>
      <c r="H159" s="386"/>
      <c r="I159" s="385"/>
      <c r="J159" s="385"/>
      <c r="K159" s="385"/>
      <c r="L159" s="385"/>
      <c r="M159" s="385"/>
    </row>
    <row r="160" spans="2:13" x14ac:dyDescent="0.25">
      <c r="C160" s="384"/>
      <c r="G160" s="385"/>
      <c r="H160" s="386"/>
      <c r="I160" s="385"/>
      <c r="J160" s="385"/>
      <c r="K160" s="385"/>
      <c r="L160" s="385"/>
      <c r="M160" s="385"/>
    </row>
    <row r="161" spans="1:13" x14ac:dyDescent="0.25">
      <c r="B161" s="570"/>
      <c r="C161" s="390"/>
      <c r="G161" s="385"/>
      <c r="H161" s="386"/>
      <c r="I161" s="385"/>
      <c r="J161" s="385"/>
      <c r="K161" s="385"/>
      <c r="L161" s="385"/>
      <c r="M161" s="385"/>
    </row>
    <row r="162" spans="1:13" x14ac:dyDescent="0.25">
      <c r="B162" s="379"/>
      <c r="C162" s="384"/>
      <c r="G162" s="385"/>
      <c r="H162" s="386"/>
      <c r="I162" s="385"/>
      <c r="J162" s="385"/>
      <c r="K162" s="385"/>
      <c r="L162" s="385"/>
      <c r="M162" s="385"/>
    </row>
    <row r="163" spans="1:13" x14ac:dyDescent="0.25">
      <c r="B163" s="379"/>
      <c r="C163" s="384"/>
      <c r="G163" s="385"/>
      <c r="H163" s="386"/>
      <c r="I163" s="385"/>
      <c r="J163" s="385"/>
      <c r="K163" s="385"/>
      <c r="L163" s="385"/>
      <c r="M163" s="385"/>
    </row>
    <row r="164" spans="1:13" x14ac:dyDescent="0.25">
      <c r="C164" s="384"/>
      <c r="G164" s="385"/>
      <c r="H164" s="386"/>
      <c r="I164" s="385"/>
      <c r="J164" s="385"/>
      <c r="K164" s="385"/>
      <c r="L164" s="385"/>
      <c r="M164" s="385"/>
    </row>
    <row r="165" spans="1:13" x14ac:dyDescent="0.25">
      <c r="G165" s="385"/>
      <c r="H165" s="386"/>
      <c r="I165" s="385"/>
      <c r="J165" s="385"/>
      <c r="K165" s="385"/>
      <c r="L165" s="385"/>
      <c r="M165" s="385"/>
    </row>
    <row r="166" spans="1:13" x14ac:dyDescent="0.25">
      <c r="C166" s="390"/>
      <c r="G166" s="391"/>
      <c r="H166" s="571"/>
      <c r="I166" s="391"/>
      <c r="J166" s="391"/>
      <c r="K166" s="391"/>
      <c r="L166" s="391"/>
      <c r="M166" s="391"/>
    </row>
    <row r="167" spans="1:13" x14ac:dyDescent="0.25">
      <c r="C167" s="390"/>
      <c r="G167" s="391"/>
      <c r="H167" s="571"/>
      <c r="I167" s="391"/>
      <c r="J167" s="391"/>
      <c r="K167" s="391"/>
      <c r="L167" s="391"/>
      <c r="M167" s="391"/>
    </row>
    <row r="169" spans="1:13" x14ac:dyDescent="0.25">
      <c r="A169" s="381"/>
      <c r="C169" s="381"/>
      <c r="D169" s="787"/>
      <c r="E169" s="382"/>
    </row>
    <row r="170" spans="1:13" x14ac:dyDescent="0.25">
      <c r="B170" s="385"/>
      <c r="C170" s="384"/>
      <c r="D170" s="786"/>
      <c r="E170" s="380"/>
      <c r="G170" s="385"/>
      <c r="H170" s="386"/>
      <c r="I170" s="385"/>
      <c r="J170" s="385"/>
      <c r="K170" s="385"/>
      <c r="L170" s="385"/>
      <c r="M170" s="385"/>
    </row>
    <row r="171" spans="1:13" x14ac:dyDescent="0.25">
      <c r="B171" s="385"/>
      <c r="C171" s="384"/>
      <c r="D171" s="786"/>
      <c r="E171" s="380"/>
      <c r="F171" s="380"/>
      <c r="G171" s="387"/>
      <c r="H171" s="569"/>
      <c r="I171" s="387"/>
      <c r="J171" s="387"/>
      <c r="K171" s="387"/>
      <c r="L171" s="387"/>
      <c r="M171" s="387"/>
    </row>
    <row r="172" spans="1:13" x14ac:dyDescent="0.25">
      <c r="B172" s="385"/>
      <c r="C172" s="384"/>
      <c r="G172" s="385"/>
      <c r="H172" s="386"/>
      <c r="I172" s="385"/>
      <c r="J172" s="385"/>
      <c r="K172" s="385"/>
      <c r="L172" s="385"/>
      <c r="M172" s="385"/>
    </row>
    <row r="173" spans="1:13" x14ac:dyDescent="0.25">
      <c r="B173" s="385"/>
      <c r="C173" s="384"/>
      <c r="G173" s="385"/>
      <c r="H173" s="386"/>
      <c r="I173" s="385"/>
      <c r="J173" s="385"/>
      <c r="K173" s="385"/>
      <c r="L173" s="385"/>
      <c r="M173" s="385"/>
    </row>
    <row r="174" spans="1:13" x14ac:dyDescent="0.25">
      <c r="B174" s="385"/>
      <c r="C174" s="384"/>
      <c r="G174" s="385"/>
      <c r="H174" s="386"/>
      <c r="I174" s="385"/>
      <c r="J174" s="385"/>
      <c r="K174" s="385"/>
      <c r="L174" s="385"/>
      <c r="M174" s="385"/>
    </row>
    <row r="175" spans="1:13" x14ac:dyDescent="0.25">
      <c r="B175" s="385"/>
      <c r="C175" s="384"/>
      <c r="G175" s="385"/>
      <c r="H175" s="386"/>
      <c r="I175" s="385"/>
      <c r="J175" s="385"/>
      <c r="K175" s="385"/>
      <c r="L175" s="385"/>
      <c r="M175" s="385"/>
    </row>
    <row r="176" spans="1:13" x14ac:dyDescent="0.25">
      <c r="B176" s="570"/>
      <c r="C176" s="384"/>
      <c r="G176" s="385"/>
      <c r="H176" s="386"/>
      <c r="I176" s="385"/>
      <c r="J176" s="385"/>
      <c r="K176" s="385"/>
      <c r="L176" s="385"/>
      <c r="M176" s="385"/>
    </row>
    <row r="177" spans="2:13" x14ac:dyDescent="0.25">
      <c r="C177" s="384"/>
      <c r="G177" s="385"/>
      <c r="H177" s="386"/>
      <c r="I177" s="385"/>
      <c r="J177" s="385"/>
      <c r="K177" s="385"/>
      <c r="L177" s="385"/>
      <c r="M177" s="385"/>
    </row>
    <row r="178" spans="2:13" x14ac:dyDescent="0.25">
      <c r="B178" s="385"/>
      <c r="C178" s="384"/>
      <c r="G178" s="385"/>
      <c r="H178" s="386"/>
      <c r="I178" s="385"/>
      <c r="J178" s="385"/>
      <c r="K178" s="385"/>
      <c r="L178" s="385"/>
      <c r="M178" s="385"/>
    </row>
    <row r="179" spans="2:13" x14ac:dyDescent="0.25">
      <c r="B179" s="385"/>
      <c r="C179" s="384"/>
      <c r="G179" s="385"/>
      <c r="H179" s="386"/>
      <c r="I179" s="385"/>
      <c r="J179" s="385"/>
      <c r="K179" s="385"/>
      <c r="L179" s="385"/>
      <c r="M179" s="385"/>
    </row>
    <row r="180" spans="2:13" x14ac:dyDescent="0.25">
      <c r="B180" s="385"/>
      <c r="C180" s="384"/>
      <c r="G180" s="385"/>
      <c r="H180" s="386"/>
      <c r="I180" s="385"/>
      <c r="J180" s="385"/>
      <c r="K180" s="385"/>
      <c r="L180" s="385"/>
      <c r="M180" s="385"/>
    </row>
    <row r="181" spans="2:13" x14ac:dyDescent="0.25">
      <c r="B181" s="385"/>
      <c r="C181" s="384"/>
      <c r="G181" s="385"/>
      <c r="H181" s="386"/>
      <c r="I181" s="385"/>
      <c r="J181" s="385"/>
      <c r="K181" s="385"/>
      <c r="L181" s="385"/>
      <c r="M181" s="385"/>
    </row>
    <row r="182" spans="2:13" x14ac:dyDescent="0.25">
      <c r="C182" s="384"/>
      <c r="G182" s="385"/>
      <c r="H182" s="386"/>
      <c r="I182" s="385"/>
      <c r="J182" s="385"/>
      <c r="K182" s="385"/>
      <c r="L182" s="385"/>
      <c r="M182" s="385"/>
    </row>
    <row r="183" spans="2:13" x14ac:dyDescent="0.25">
      <c r="B183" s="385"/>
      <c r="C183" s="384"/>
      <c r="G183" s="385"/>
      <c r="H183" s="386"/>
      <c r="I183" s="385"/>
      <c r="J183" s="385"/>
      <c r="K183" s="385"/>
      <c r="L183" s="385"/>
      <c r="M183" s="385"/>
    </row>
    <row r="184" spans="2:13" x14ac:dyDescent="0.25">
      <c r="B184" s="385"/>
      <c r="C184" s="384"/>
      <c r="G184" s="385"/>
      <c r="H184" s="386"/>
      <c r="I184" s="385"/>
      <c r="J184" s="385"/>
      <c r="K184" s="385"/>
      <c r="L184" s="385"/>
      <c r="M184" s="385"/>
    </row>
    <row r="185" spans="2:13" x14ac:dyDescent="0.25">
      <c r="B185" s="385"/>
      <c r="C185" s="384"/>
      <c r="G185" s="385"/>
      <c r="H185" s="386"/>
      <c r="I185" s="385"/>
      <c r="J185" s="385"/>
      <c r="K185" s="385"/>
      <c r="L185" s="385"/>
      <c r="M185" s="385"/>
    </row>
    <row r="186" spans="2:13" x14ac:dyDescent="0.25">
      <c r="B186" s="570"/>
      <c r="C186" s="384"/>
      <c r="G186" s="385"/>
      <c r="H186" s="386"/>
      <c r="I186" s="385"/>
      <c r="J186" s="385"/>
      <c r="K186" s="385"/>
      <c r="L186" s="385"/>
      <c r="M186" s="385"/>
    </row>
    <row r="187" spans="2:13" x14ac:dyDescent="0.25">
      <c r="B187" s="385"/>
      <c r="C187" s="384"/>
      <c r="G187" s="385"/>
      <c r="H187" s="386"/>
      <c r="I187" s="385"/>
      <c r="J187" s="385"/>
      <c r="K187" s="385"/>
      <c r="L187" s="385"/>
      <c r="M187" s="385"/>
    </row>
    <row r="188" spans="2:13" x14ac:dyDescent="0.25">
      <c r="B188" s="385"/>
      <c r="C188" s="384"/>
      <c r="G188" s="385"/>
      <c r="H188" s="386"/>
      <c r="I188" s="385"/>
      <c r="J188" s="385"/>
      <c r="K188" s="385"/>
      <c r="L188" s="385"/>
      <c r="M188" s="385"/>
    </row>
    <row r="189" spans="2:13" x14ac:dyDescent="0.25">
      <c r="B189" s="385"/>
      <c r="C189" s="384"/>
      <c r="G189" s="385"/>
      <c r="H189" s="386"/>
      <c r="I189" s="385"/>
      <c r="J189" s="385"/>
      <c r="K189" s="385"/>
      <c r="L189" s="385"/>
      <c r="M189" s="385"/>
    </row>
    <row r="190" spans="2:13" x14ac:dyDescent="0.25">
      <c r="B190" s="385"/>
      <c r="C190" s="384"/>
      <c r="G190" s="385"/>
      <c r="H190" s="386"/>
      <c r="I190" s="385"/>
      <c r="J190" s="385"/>
      <c r="K190" s="385"/>
      <c r="L190" s="385"/>
      <c r="M190" s="385"/>
    </row>
    <row r="191" spans="2:13" x14ac:dyDescent="0.25">
      <c r="B191" s="385"/>
      <c r="C191" s="384"/>
      <c r="G191" s="385"/>
      <c r="H191" s="386"/>
      <c r="I191" s="385"/>
      <c r="J191" s="385"/>
      <c r="K191" s="385"/>
      <c r="L191" s="385"/>
      <c r="M191" s="385"/>
    </row>
    <row r="192" spans="2:13" x14ac:dyDescent="0.25">
      <c r="B192" s="385"/>
      <c r="C192" s="384"/>
      <c r="G192" s="385"/>
      <c r="H192" s="386"/>
      <c r="I192" s="385"/>
      <c r="J192" s="385"/>
      <c r="K192" s="385"/>
      <c r="L192" s="385"/>
      <c r="M192" s="385"/>
    </row>
    <row r="193" spans="2:13" x14ac:dyDescent="0.25">
      <c r="B193" s="385"/>
      <c r="C193" s="384"/>
      <c r="G193" s="385"/>
      <c r="H193" s="386"/>
      <c r="I193" s="385"/>
      <c r="J193" s="385"/>
      <c r="K193" s="385"/>
      <c r="L193" s="385"/>
      <c r="M193" s="385"/>
    </row>
    <row r="194" spans="2:13" x14ac:dyDescent="0.25">
      <c r="B194" s="385"/>
      <c r="C194" s="384"/>
      <c r="G194" s="385"/>
      <c r="H194" s="386"/>
      <c r="I194" s="385"/>
      <c r="J194" s="385"/>
      <c r="K194" s="385"/>
      <c r="L194" s="385"/>
      <c r="M194" s="385"/>
    </row>
    <row r="195" spans="2:13" x14ac:dyDescent="0.25">
      <c r="B195" s="379"/>
      <c r="C195" s="384"/>
      <c r="G195" s="385"/>
      <c r="H195" s="386"/>
      <c r="I195" s="385"/>
      <c r="J195" s="385"/>
      <c r="K195" s="385"/>
      <c r="L195" s="385"/>
      <c r="M195" s="385"/>
    </row>
    <row r="196" spans="2:13" x14ac:dyDescent="0.25">
      <c r="C196" s="384"/>
      <c r="G196" s="385"/>
      <c r="H196" s="386"/>
      <c r="I196" s="385"/>
      <c r="J196" s="385"/>
      <c r="K196" s="385"/>
      <c r="L196" s="385"/>
      <c r="M196" s="385"/>
    </row>
    <row r="197" spans="2:13" x14ac:dyDescent="0.25">
      <c r="B197" s="379"/>
      <c r="C197" s="384"/>
      <c r="G197" s="385"/>
      <c r="H197" s="386"/>
      <c r="I197" s="385"/>
      <c r="J197" s="385"/>
      <c r="K197" s="385"/>
      <c r="L197" s="385"/>
      <c r="M197" s="385"/>
    </row>
    <row r="198" spans="2:13" x14ac:dyDescent="0.25">
      <c r="C198" s="384"/>
      <c r="G198" s="385"/>
      <c r="H198" s="386"/>
      <c r="I198" s="385"/>
      <c r="J198" s="385"/>
      <c r="K198" s="385"/>
      <c r="L198" s="385"/>
      <c r="M198" s="385"/>
    </row>
    <row r="199" spans="2:13" x14ac:dyDescent="0.25">
      <c r="B199" s="385"/>
      <c r="C199" s="384"/>
      <c r="G199" s="385"/>
      <c r="H199" s="386"/>
      <c r="I199" s="385"/>
      <c r="J199" s="385"/>
      <c r="K199" s="385"/>
      <c r="L199" s="385"/>
      <c r="M199" s="385"/>
    </row>
    <row r="200" spans="2:13" x14ac:dyDescent="0.25">
      <c r="B200" s="385"/>
      <c r="C200" s="384"/>
      <c r="G200" s="385"/>
      <c r="H200" s="386"/>
      <c r="I200" s="385"/>
      <c r="J200" s="385"/>
      <c r="K200" s="385"/>
      <c r="L200" s="385"/>
      <c r="M200" s="385"/>
    </row>
    <row r="201" spans="2:13" x14ac:dyDescent="0.25">
      <c r="B201" s="385"/>
      <c r="C201" s="384"/>
      <c r="G201" s="385"/>
      <c r="H201" s="386"/>
      <c r="I201" s="385"/>
      <c r="J201" s="385"/>
      <c r="K201" s="385"/>
      <c r="L201" s="385"/>
      <c r="M201" s="385"/>
    </row>
    <row r="202" spans="2:13" x14ac:dyDescent="0.25">
      <c r="B202" s="379"/>
      <c r="C202" s="384"/>
      <c r="G202" s="385"/>
      <c r="H202" s="386"/>
      <c r="I202" s="385"/>
      <c r="J202" s="385"/>
      <c r="K202" s="385"/>
      <c r="L202" s="385"/>
      <c r="M202" s="385"/>
    </row>
    <row r="203" spans="2:13" x14ac:dyDescent="0.25">
      <c r="C203" s="384"/>
      <c r="G203" s="385"/>
      <c r="H203" s="386"/>
      <c r="I203" s="385"/>
      <c r="J203" s="385"/>
      <c r="K203" s="385"/>
      <c r="L203" s="385"/>
      <c r="M203" s="385"/>
    </row>
    <row r="204" spans="2:13" x14ac:dyDescent="0.25">
      <c r="B204" s="385"/>
      <c r="C204" s="384"/>
      <c r="G204" s="385"/>
      <c r="H204" s="386"/>
      <c r="I204" s="385"/>
      <c r="J204" s="385"/>
      <c r="K204" s="385"/>
      <c r="L204" s="385"/>
      <c r="M204" s="385"/>
    </row>
    <row r="205" spans="2:13" x14ac:dyDescent="0.25">
      <c r="B205" s="385"/>
      <c r="C205" s="384"/>
      <c r="G205" s="385"/>
      <c r="H205" s="386"/>
      <c r="I205" s="385"/>
      <c r="J205" s="385"/>
      <c r="K205" s="385"/>
      <c r="L205" s="385"/>
      <c r="M205" s="385"/>
    </row>
    <row r="206" spans="2:13" x14ac:dyDescent="0.25">
      <c r="B206" s="379"/>
      <c r="C206" s="384"/>
      <c r="G206" s="385"/>
      <c r="H206" s="386"/>
      <c r="I206" s="385"/>
      <c r="J206" s="385"/>
      <c r="K206" s="385"/>
      <c r="L206" s="385"/>
      <c r="M206" s="385"/>
    </row>
    <row r="207" spans="2:13" x14ac:dyDescent="0.25">
      <c r="C207" s="384"/>
      <c r="G207" s="385"/>
      <c r="H207" s="386"/>
      <c r="I207" s="385"/>
      <c r="J207" s="385"/>
      <c r="K207" s="385"/>
      <c r="L207" s="385"/>
      <c r="M207" s="385"/>
    </row>
    <row r="208" spans="2:13" x14ac:dyDescent="0.25">
      <c r="B208" s="570"/>
      <c r="C208" s="390"/>
      <c r="G208" s="385"/>
      <c r="H208" s="386"/>
      <c r="I208" s="385"/>
      <c r="J208" s="385"/>
      <c r="K208" s="385"/>
      <c r="L208" s="385"/>
      <c r="M208" s="385"/>
    </row>
    <row r="209" spans="1:13" x14ac:dyDescent="0.25">
      <c r="B209" s="379"/>
      <c r="C209" s="384"/>
      <c r="G209" s="385"/>
      <c r="H209" s="386"/>
      <c r="I209" s="385"/>
      <c r="J209" s="385"/>
      <c r="K209" s="385"/>
      <c r="L209" s="385"/>
      <c r="M209" s="385"/>
    </row>
    <row r="210" spans="1:13" x14ac:dyDescent="0.25">
      <c r="B210" s="379"/>
      <c r="C210" s="384"/>
      <c r="G210" s="385"/>
      <c r="H210" s="386"/>
      <c r="I210" s="385"/>
      <c r="J210" s="385"/>
      <c r="K210" s="385"/>
      <c r="L210" s="385"/>
      <c r="M210" s="385"/>
    </row>
    <row r="211" spans="1:13" x14ac:dyDescent="0.25">
      <c r="C211" s="390"/>
      <c r="G211" s="385"/>
      <c r="H211" s="386"/>
      <c r="I211" s="385"/>
      <c r="J211" s="385"/>
      <c r="K211" s="385"/>
      <c r="L211" s="385"/>
      <c r="M211" s="385"/>
    </row>
    <row r="212" spans="1:13" x14ac:dyDescent="0.25">
      <c r="G212" s="385"/>
      <c r="H212" s="386"/>
      <c r="I212" s="385"/>
      <c r="J212" s="385"/>
      <c r="K212" s="385"/>
      <c r="L212" s="385"/>
      <c r="M212" s="385"/>
    </row>
    <row r="213" spans="1:13" x14ac:dyDescent="0.25">
      <c r="K213" s="391"/>
      <c r="L213" s="391"/>
      <c r="M213" s="391"/>
    </row>
    <row r="215" spans="1:13" x14ac:dyDescent="0.25">
      <c r="A215" s="381"/>
      <c r="C215" s="381"/>
      <c r="D215" s="787"/>
      <c r="E215" s="382"/>
    </row>
    <row r="216" spans="1:13" x14ac:dyDescent="0.25">
      <c r="B216" s="385"/>
      <c r="C216" s="384"/>
      <c r="D216" s="786"/>
      <c r="E216" s="380"/>
      <c r="G216" s="385"/>
      <c r="H216" s="386"/>
      <c r="I216" s="385"/>
      <c r="J216" s="385"/>
      <c r="K216" s="385"/>
      <c r="L216" s="385"/>
      <c r="M216" s="385"/>
    </row>
    <row r="217" spans="1:13" x14ac:dyDescent="0.25">
      <c r="B217" s="385"/>
      <c r="C217" s="384"/>
      <c r="D217" s="786"/>
      <c r="E217" s="380"/>
      <c r="F217" s="380"/>
      <c r="G217" s="387"/>
      <c r="H217" s="569"/>
      <c r="I217" s="387"/>
      <c r="J217" s="387"/>
      <c r="K217" s="387"/>
      <c r="L217" s="387"/>
      <c r="M217" s="387"/>
    </row>
    <row r="218" spans="1:13" x14ac:dyDescent="0.25">
      <c r="B218" s="385"/>
      <c r="C218" s="384"/>
      <c r="G218" s="385"/>
      <c r="H218" s="386"/>
      <c r="I218" s="385"/>
      <c r="J218" s="385"/>
      <c r="K218" s="385"/>
      <c r="L218" s="385"/>
      <c r="M218" s="385"/>
    </row>
    <row r="219" spans="1:13" x14ac:dyDescent="0.25">
      <c r="B219" s="385"/>
      <c r="C219" s="384"/>
      <c r="G219" s="385"/>
      <c r="H219" s="386"/>
      <c r="I219" s="385"/>
      <c r="J219" s="385"/>
      <c r="K219" s="385"/>
      <c r="L219" s="385"/>
      <c r="M219" s="385"/>
    </row>
    <row r="220" spans="1:13" x14ac:dyDescent="0.25">
      <c r="B220" s="385"/>
      <c r="C220" s="384"/>
      <c r="G220" s="385"/>
      <c r="H220" s="386"/>
      <c r="I220" s="385"/>
      <c r="J220" s="385"/>
      <c r="K220" s="385"/>
      <c r="L220" s="385"/>
      <c r="M220" s="385"/>
    </row>
    <row r="221" spans="1:13" x14ac:dyDescent="0.25">
      <c r="B221" s="385"/>
      <c r="C221" s="384"/>
      <c r="G221" s="385"/>
      <c r="H221" s="386"/>
      <c r="I221" s="385"/>
      <c r="J221" s="385"/>
      <c r="K221" s="385"/>
      <c r="L221" s="385"/>
      <c r="M221" s="385"/>
    </row>
    <row r="222" spans="1:13" x14ac:dyDescent="0.25">
      <c r="B222" s="570"/>
      <c r="C222" s="384"/>
      <c r="G222" s="385"/>
      <c r="H222" s="386"/>
      <c r="I222" s="385"/>
      <c r="J222" s="385"/>
      <c r="K222" s="385"/>
      <c r="L222" s="385"/>
      <c r="M222" s="385"/>
    </row>
    <row r="223" spans="1:13" x14ac:dyDescent="0.25">
      <c r="C223" s="384"/>
      <c r="G223" s="385"/>
      <c r="H223" s="386"/>
      <c r="I223" s="385"/>
      <c r="J223" s="385"/>
      <c r="K223" s="385"/>
      <c r="L223" s="385"/>
      <c r="M223" s="385"/>
    </row>
    <row r="224" spans="1:13" x14ac:dyDescent="0.25">
      <c r="B224" s="385"/>
      <c r="C224" s="384"/>
      <c r="G224" s="385"/>
      <c r="H224" s="386"/>
      <c r="I224" s="385"/>
      <c r="J224" s="385"/>
      <c r="K224" s="385"/>
      <c r="L224" s="385"/>
      <c r="M224" s="385"/>
    </row>
    <row r="225" spans="2:13" x14ac:dyDescent="0.25">
      <c r="B225" s="385"/>
      <c r="C225" s="384"/>
      <c r="G225" s="385"/>
      <c r="H225" s="386"/>
      <c r="I225" s="385"/>
      <c r="J225" s="385"/>
      <c r="K225" s="385"/>
      <c r="L225" s="385"/>
      <c r="M225" s="385"/>
    </row>
    <row r="226" spans="2:13" x14ac:dyDescent="0.25">
      <c r="B226" s="385"/>
      <c r="C226" s="384"/>
      <c r="G226" s="385"/>
      <c r="H226" s="386"/>
      <c r="I226" s="385"/>
      <c r="J226" s="385"/>
      <c r="K226" s="385"/>
      <c r="L226" s="385"/>
      <c r="M226" s="385"/>
    </row>
    <row r="227" spans="2:13" x14ac:dyDescent="0.25">
      <c r="B227" s="385"/>
      <c r="C227" s="384"/>
      <c r="G227" s="385"/>
      <c r="H227" s="386"/>
      <c r="I227" s="385"/>
      <c r="J227" s="385"/>
      <c r="K227" s="385"/>
      <c r="L227" s="385"/>
      <c r="M227" s="385"/>
    </row>
    <row r="228" spans="2:13" x14ac:dyDescent="0.25">
      <c r="C228" s="384"/>
      <c r="G228" s="385"/>
      <c r="H228" s="386"/>
      <c r="I228" s="385"/>
      <c r="J228" s="385"/>
      <c r="K228" s="385"/>
      <c r="L228" s="385"/>
      <c r="M228" s="385"/>
    </row>
    <row r="229" spans="2:13" x14ac:dyDescent="0.25">
      <c r="B229" s="385"/>
      <c r="C229" s="384"/>
      <c r="G229" s="385"/>
      <c r="H229" s="386"/>
      <c r="I229" s="385"/>
      <c r="J229" s="385"/>
      <c r="K229" s="385"/>
      <c r="L229" s="385"/>
      <c r="M229" s="385"/>
    </row>
    <row r="230" spans="2:13" x14ac:dyDescent="0.25">
      <c r="B230" s="385"/>
      <c r="C230" s="384"/>
      <c r="G230" s="385"/>
      <c r="H230" s="386"/>
      <c r="I230" s="385"/>
      <c r="J230" s="385"/>
      <c r="K230" s="385"/>
      <c r="L230" s="385"/>
      <c r="M230" s="385"/>
    </row>
    <row r="231" spans="2:13" x14ac:dyDescent="0.25">
      <c r="B231" s="385"/>
      <c r="C231" s="384"/>
      <c r="G231" s="385"/>
      <c r="H231" s="386"/>
      <c r="I231" s="385"/>
      <c r="J231" s="385"/>
      <c r="K231" s="385"/>
      <c r="L231" s="385"/>
      <c r="M231" s="385"/>
    </row>
    <row r="232" spans="2:13" x14ac:dyDescent="0.25">
      <c r="B232" s="570"/>
      <c r="C232" s="384"/>
      <c r="G232" s="385"/>
      <c r="H232" s="386"/>
      <c r="I232" s="385"/>
      <c r="J232" s="385"/>
      <c r="K232" s="385"/>
      <c r="L232" s="385"/>
      <c r="M232" s="385"/>
    </row>
    <row r="233" spans="2:13" x14ac:dyDescent="0.25">
      <c r="B233" s="385"/>
      <c r="C233" s="384"/>
      <c r="G233" s="385"/>
      <c r="H233" s="386"/>
      <c r="I233" s="385"/>
      <c r="J233" s="385"/>
      <c r="K233" s="385"/>
      <c r="L233" s="385"/>
      <c r="M233" s="385"/>
    </row>
    <row r="234" spans="2:13" x14ac:dyDescent="0.25">
      <c r="B234" s="385"/>
      <c r="C234" s="384"/>
      <c r="G234" s="385"/>
      <c r="H234" s="386"/>
      <c r="I234" s="385"/>
      <c r="J234" s="385"/>
      <c r="K234" s="385"/>
      <c r="L234" s="385"/>
      <c r="M234" s="385"/>
    </row>
    <row r="235" spans="2:13" x14ac:dyDescent="0.25">
      <c r="B235" s="385"/>
      <c r="C235" s="384"/>
      <c r="G235" s="385"/>
      <c r="H235" s="386"/>
      <c r="I235" s="385"/>
      <c r="J235" s="385"/>
      <c r="K235" s="385"/>
      <c r="L235" s="385"/>
      <c r="M235" s="385"/>
    </row>
    <row r="236" spans="2:13" x14ac:dyDescent="0.25">
      <c r="B236" s="385"/>
      <c r="C236" s="384"/>
      <c r="G236" s="385"/>
      <c r="H236" s="386"/>
      <c r="I236" s="385"/>
      <c r="J236" s="385"/>
      <c r="K236" s="385"/>
      <c r="L236" s="385"/>
      <c r="M236" s="385"/>
    </row>
    <row r="237" spans="2:13" x14ac:dyDescent="0.25">
      <c r="B237" s="385"/>
      <c r="C237" s="384"/>
      <c r="G237" s="385"/>
      <c r="H237" s="386"/>
      <c r="I237" s="385"/>
      <c r="J237" s="385"/>
      <c r="K237" s="385"/>
      <c r="L237" s="385"/>
      <c r="M237" s="385"/>
    </row>
    <row r="238" spans="2:13" x14ac:dyDescent="0.25">
      <c r="B238" s="385"/>
      <c r="C238" s="384"/>
      <c r="G238" s="385"/>
      <c r="H238" s="386"/>
      <c r="I238" s="385"/>
      <c r="J238" s="385"/>
      <c r="K238" s="385"/>
      <c r="L238" s="385"/>
      <c r="M238" s="385"/>
    </row>
    <row r="239" spans="2:13" x14ac:dyDescent="0.25">
      <c r="B239" s="385"/>
      <c r="C239" s="384"/>
      <c r="G239" s="385"/>
      <c r="H239" s="386"/>
      <c r="I239" s="385"/>
      <c r="J239" s="385"/>
      <c r="K239" s="385"/>
      <c r="L239" s="385"/>
      <c r="M239" s="385"/>
    </row>
    <row r="240" spans="2:13" x14ac:dyDescent="0.25">
      <c r="B240" s="385"/>
      <c r="C240" s="384"/>
      <c r="G240" s="385"/>
      <c r="H240" s="386"/>
      <c r="I240" s="385"/>
      <c r="J240" s="385"/>
      <c r="K240" s="385"/>
      <c r="L240" s="385"/>
      <c r="M240" s="385"/>
    </row>
    <row r="241" spans="2:13" x14ac:dyDescent="0.25">
      <c r="B241" s="379"/>
      <c r="C241" s="384"/>
      <c r="G241" s="385"/>
      <c r="H241" s="386"/>
      <c r="I241" s="385"/>
      <c r="J241" s="385"/>
      <c r="K241" s="385"/>
      <c r="L241" s="385"/>
      <c r="M241" s="385"/>
    </row>
    <row r="242" spans="2:13" x14ac:dyDescent="0.25">
      <c r="C242" s="384"/>
      <c r="G242" s="385"/>
      <c r="H242" s="386"/>
      <c r="I242" s="385"/>
      <c r="J242" s="385"/>
      <c r="K242" s="385"/>
      <c r="L242" s="385"/>
      <c r="M242" s="385"/>
    </row>
    <row r="243" spans="2:13" x14ac:dyDescent="0.25">
      <c r="B243" s="379"/>
      <c r="C243" s="384"/>
      <c r="G243" s="385"/>
      <c r="H243" s="386"/>
      <c r="I243" s="385"/>
      <c r="J243" s="385"/>
      <c r="K243" s="385"/>
      <c r="L243" s="385"/>
      <c r="M243" s="385"/>
    </row>
    <row r="244" spans="2:13" x14ac:dyDescent="0.25">
      <c r="C244" s="384"/>
      <c r="G244" s="385"/>
      <c r="H244" s="386"/>
      <c r="I244" s="385"/>
      <c r="J244" s="385"/>
      <c r="K244" s="385"/>
      <c r="L244" s="385"/>
      <c r="M244" s="385"/>
    </row>
    <row r="245" spans="2:13" x14ac:dyDescent="0.25">
      <c r="B245" s="385"/>
      <c r="C245" s="384"/>
      <c r="G245" s="385"/>
      <c r="H245" s="386"/>
      <c r="I245" s="385"/>
      <c r="J245" s="385"/>
      <c r="K245" s="385"/>
      <c r="L245" s="385"/>
      <c r="M245" s="385"/>
    </row>
    <row r="246" spans="2:13" x14ac:dyDescent="0.25">
      <c r="B246" s="385"/>
      <c r="C246" s="384"/>
      <c r="G246" s="385"/>
      <c r="H246" s="386"/>
      <c r="I246" s="385"/>
      <c r="J246" s="385"/>
      <c r="K246" s="385"/>
      <c r="L246" s="385"/>
      <c r="M246" s="385"/>
    </row>
    <row r="247" spans="2:13" x14ac:dyDescent="0.25">
      <c r="B247" s="385"/>
      <c r="C247" s="384"/>
      <c r="G247" s="385"/>
      <c r="H247" s="386"/>
      <c r="I247" s="385"/>
      <c r="J247" s="385"/>
      <c r="K247" s="385"/>
      <c r="L247" s="385"/>
      <c r="M247" s="385"/>
    </row>
    <row r="248" spans="2:13" x14ac:dyDescent="0.25">
      <c r="B248" s="379"/>
      <c r="C248" s="384"/>
      <c r="G248" s="385"/>
      <c r="H248" s="386"/>
      <c r="I248" s="385"/>
      <c r="J248" s="385"/>
      <c r="K248" s="385"/>
      <c r="L248" s="385"/>
      <c r="M248" s="385"/>
    </row>
    <row r="249" spans="2:13" x14ac:dyDescent="0.25">
      <c r="C249" s="384"/>
      <c r="G249" s="385"/>
      <c r="H249" s="386"/>
      <c r="I249" s="385"/>
      <c r="J249" s="385"/>
      <c r="K249" s="385"/>
      <c r="L249" s="385"/>
      <c r="M249" s="385"/>
    </row>
    <row r="250" spans="2:13" x14ac:dyDescent="0.25">
      <c r="B250" s="385"/>
      <c r="C250" s="384"/>
      <c r="G250" s="385"/>
      <c r="H250" s="386"/>
      <c r="I250" s="385"/>
      <c r="J250" s="385"/>
      <c r="K250" s="385"/>
      <c r="L250" s="385"/>
      <c r="M250" s="385"/>
    </row>
    <row r="251" spans="2:13" x14ac:dyDescent="0.25">
      <c r="B251" s="385"/>
      <c r="C251" s="384"/>
      <c r="G251" s="385"/>
      <c r="H251" s="386"/>
      <c r="I251" s="385"/>
      <c r="J251" s="385"/>
      <c r="K251" s="385"/>
      <c r="L251" s="385"/>
      <c r="M251" s="385"/>
    </row>
    <row r="252" spans="2:13" x14ac:dyDescent="0.25">
      <c r="B252" s="379"/>
      <c r="C252" s="384"/>
      <c r="G252" s="385"/>
      <c r="H252" s="386"/>
      <c r="I252" s="385"/>
      <c r="J252" s="385"/>
      <c r="K252" s="385"/>
      <c r="L252" s="385"/>
      <c r="M252" s="385"/>
    </row>
    <row r="253" spans="2:13" x14ac:dyDescent="0.25">
      <c r="C253" s="384"/>
      <c r="G253" s="385"/>
      <c r="H253" s="386"/>
      <c r="I253" s="385"/>
      <c r="J253" s="385"/>
      <c r="K253" s="385"/>
      <c r="L253" s="385"/>
      <c r="M253" s="385"/>
    </row>
    <row r="254" spans="2:13" x14ac:dyDescent="0.25">
      <c r="B254" s="570"/>
      <c r="C254" s="390"/>
      <c r="G254" s="385"/>
      <c r="H254" s="386"/>
      <c r="I254" s="385"/>
      <c r="J254" s="385"/>
      <c r="K254" s="385"/>
      <c r="L254" s="385"/>
      <c r="M254" s="385"/>
    </row>
    <row r="255" spans="2:13" x14ac:dyDescent="0.25">
      <c r="B255" s="379"/>
      <c r="C255" s="384"/>
      <c r="G255" s="385"/>
      <c r="H255" s="386"/>
      <c r="I255" s="385"/>
      <c r="J255" s="385"/>
      <c r="K255" s="385"/>
      <c r="L255" s="385"/>
      <c r="M255" s="385"/>
    </row>
    <row r="256" spans="2:13" x14ac:dyDescent="0.25">
      <c r="B256" s="379"/>
      <c r="C256" s="384"/>
      <c r="G256" s="385"/>
      <c r="H256" s="386"/>
      <c r="I256" s="385"/>
      <c r="J256" s="385"/>
      <c r="K256" s="385"/>
      <c r="L256" s="385"/>
      <c r="M256" s="385"/>
    </row>
    <row r="257" spans="1:13" x14ac:dyDescent="0.25">
      <c r="C257" s="390"/>
      <c r="G257" s="385"/>
      <c r="H257" s="386"/>
      <c r="I257" s="385"/>
      <c r="J257" s="385"/>
      <c r="K257" s="385"/>
      <c r="L257" s="385"/>
      <c r="M257" s="385"/>
    </row>
    <row r="258" spans="1:13" x14ac:dyDescent="0.25">
      <c r="G258" s="385"/>
      <c r="H258" s="386"/>
      <c r="I258" s="385"/>
      <c r="J258" s="385"/>
      <c r="K258" s="385"/>
      <c r="L258" s="385"/>
      <c r="M258" s="385"/>
    </row>
    <row r="259" spans="1:13" x14ac:dyDescent="0.25">
      <c r="K259" s="391"/>
      <c r="L259" s="391"/>
      <c r="M259" s="391"/>
    </row>
    <row r="262" spans="1:13" x14ac:dyDescent="0.25">
      <c r="A262" s="381"/>
      <c r="C262" s="381"/>
      <c r="D262" s="787"/>
      <c r="E262" s="382"/>
    </row>
    <row r="263" spans="1:13" x14ac:dyDescent="0.25">
      <c r="B263" s="385"/>
      <c r="C263" s="384"/>
      <c r="D263" s="786"/>
      <c r="E263" s="380"/>
      <c r="G263" s="385"/>
      <c r="H263" s="386"/>
      <c r="I263" s="385"/>
      <c r="J263" s="385"/>
      <c r="K263" s="385"/>
      <c r="L263" s="385"/>
      <c r="M263" s="385"/>
    </row>
    <row r="264" spans="1:13" x14ac:dyDescent="0.25">
      <c r="B264" s="385"/>
      <c r="C264" s="384"/>
      <c r="D264" s="786"/>
      <c r="E264" s="380"/>
      <c r="F264" s="380"/>
      <c r="G264" s="387"/>
      <c r="H264" s="569"/>
      <c r="I264" s="387"/>
      <c r="J264" s="387"/>
      <c r="K264" s="387"/>
      <c r="L264" s="387"/>
      <c r="M264" s="387"/>
    </row>
    <row r="265" spans="1:13" x14ac:dyDescent="0.25">
      <c r="B265" s="385"/>
      <c r="C265" s="384"/>
      <c r="G265" s="385"/>
      <c r="H265" s="386"/>
      <c r="I265" s="385"/>
      <c r="J265" s="385"/>
      <c r="K265" s="385"/>
      <c r="L265" s="385"/>
      <c r="M265" s="385"/>
    </row>
    <row r="266" spans="1:13" x14ac:dyDescent="0.25">
      <c r="B266" s="385"/>
      <c r="C266" s="384"/>
      <c r="G266" s="385"/>
      <c r="H266" s="386"/>
      <c r="I266" s="385"/>
      <c r="J266" s="385"/>
      <c r="K266" s="385"/>
      <c r="L266" s="385"/>
      <c r="M266" s="385"/>
    </row>
    <row r="267" spans="1:13" x14ac:dyDescent="0.25">
      <c r="B267" s="385"/>
      <c r="C267" s="384"/>
      <c r="G267" s="385"/>
      <c r="H267" s="386"/>
      <c r="I267" s="385"/>
      <c r="J267" s="385"/>
      <c r="K267" s="385"/>
      <c r="L267" s="385"/>
      <c r="M267" s="385"/>
    </row>
    <row r="268" spans="1:13" x14ac:dyDescent="0.25">
      <c r="B268" s="385"/>
      <c r="C268" s="384"/>
      <c r="G268" s="385"/>
      <c r="H268" s="386"/>
      <c r="I268" s="385"/>
      <c r="J268" s="385"/>
      <c r="K268" s="385"/>
      <c r="L268" s="385"/>
      <c r="M268" s="385"/>
    </row>
    <row r="269" spans="1:13" x14ac:dyDescent="0.25">
      <c r="B269" s="570"/>
      <c r="C269" s="384"/>
      <c r="G269" s="385"/>
      <c r="H269" s="386"/>
      <c r="I269" s="385"/>
      <c r="J269" s="385"/>
      <c r="K269" s="385"/>
      <c r="L269" s="385"/>
      <c r="M269" s="385"/>
    </row>
    <row r="270" spans="1:13" x14ac:dyDescent="0.25">
      <c r="C270" s="384"/>
      <c r="G270" s="385"/>
      <c r="H270" s="386"/>
      <c r="I270" s="385"/>
      <c r="J270" s="385"/>
      <c r="K270" s="385"/>
      <c r="L270" s="385"/>
      <c r="M270" s="385"/>
    </row>
    <row r="271" spans="1:13" x14ac:dyDescent="0.25">
      <c r="B271" s="385"/>
      <c r="C271" s="384"/>
      <c r="G271" s="385"/>
      <c r="H271" s="386"/>
      <c r="I271" s="385"/>
      <c r="J271" s="385"/>
      <c r="K271" s="385"/>
      <c r="L271" s="385"/>
      <c r="M271" s="385"/>
    </row>
    <row r="272" spans="1:13" x14ac:dyDescent="0.25">
      <c r="B272" s="385"/>
      <c r="C272" s="384"/>
      <c r="G272" s="385"/>
      <c r="H272" s="386"/>
      <c r="I272" s="385"/>
      <c r="J272" s="385"/>
      <c r="K272" s="385"/>
      <c r="L272" s="385"/>
      <c r="M272" s="385"/>
    </row>
    <row r="273" spans="2:13" x14ac:dyDescent="0.25">
      <c r="B273" s="385"/>
      <c r="C273" s="384"/>
      <c r="G273" s="385"/>
      <c r="H273" s="386"/>
      <c r="I273" s="385"/>
      <c r="J273" s="385"/>
      <c r="K273" s="385"/>
      <c r="L273" s="385"/>
      <c r="M273" s="385"/>
    </row>
    <row r="274" spans="2:13" x14ac:dyDescent="0.25">
      <c r="B274" s="385"/>
      <c r="C274" s="384"/>
      <c r="G274" s="385"/>
      <c r="H274" s="386"/>
      <c r="I274" s="385"/>
      <c r="J274" s="385"/>
      <c r="K274" s="385"/>
      <c r="L274" s="385"/>
      <c r="M274" s="385"/>
    </row>
    <row r="275" spans="2:13" x14ac:dyDescent="0.25">
      <c r="C275" s="384"/>
      <c r="G275" s="385"/>
      <c r="H275" s="386"/>
      <c r="I275" s="385"/>
      <c r="J275" s="385"/>
      <c r="K275" s="385"/>
      <c r="L275" s="385"/>
      <c r="M275" s="385"/>
    </row>
    <row r="276" spans="2:13" x14ac:dyDescent="0.25">
      <c r="B276" s="385"/>
      <c r="C276" s="384"/>
      <c r="G276" s="385"/>
      <c r="H276" s="386"/>
      <c r="I276" s="385"/>
      <c r="J276" s="385"/>
      <c r="K276" s="385"/>
      <c r="L276" s="385"/>
      <c r="M276" s="385"/>
    </row>
    <row r="277" spans="2:13" x14ac:dyDescent="0.25">
      <c r="B277" s="385"/>
      <c r="C277" s="384"/>
      <c r="G277" s="385"/>
      <c r="H277" s="386"/>
      <c r="I277" s="385"/>
      <c r="J277" s="385"/>
      <c r="K277" s="385"/>
      <c r="L277" s="385"/>
      <c r="M277" s="385"/>
    </row>
    <row r="278" spans="2:13" x14ac:dyDescent="0.25">
      <c r="B278" s="385"/>
      <c r="C278" s="384"/>
      <c r="G278" s="385"/>
      <c r="H278" s="386"/>
      <c r="I278" s="385"/>
      <c r="J278" s="385"/>
      <c r="K278" s="385"/>
      <c r="L278" s="385"/>
      <c r="M278" s="385"/>
    </row>
    <row r="279" spans="2:13" x14ac:dyDescent="0.25">
      <c r="B279" s="570"/>
      <c r="C279" s="384"/>
      <c r="G279" s="385"/>
      <c r="H279" s="386"/>
      <c r="I279" s="385"/>
      <c r="J279" s="385"/>
      <c r="K279" s="385"/>
      <c r="L279" s="385"/>
      <c r="M279" s="385"/>
    </row>
    <row r="280" spans="2:13" x14ac:dyDescent="0.25">
      <c r="B280" s="385"/>
      <c r="C280" s="384"/>
      <c r="G280" s="385"/>
      <c r="H280" s="386"/>
      <c r="I280" s="385"/>
      <c r="J280" s="385"/>
      <c r="K280" s="385"/>
      <c r="L280" s="385"/>
      <c r="M280" s="385"/>
    </row>
    <row r="281" spans="2:13" x14ac:dyDescent="0.25">
      <c r="B281" s="385"/>
      <c r="C281" s="384"/>
      <c r="G281" s="385"/>
      <c r="H281" s="386"/>
      <c r="I281" s="385"/>
      <c r="J281" s="385"/>
      <c r="K281" s="385"/>
      <c r="L281" s="385"/>
      <c r="M281" s="385"/>
    </row>
    <row r="282" spans="2:13" x14ac:dyDescent="0.25">
      <c r="B282" s="385"/>
      <c r="C282" s="384"/>
      <c r="G282" s="385"/>
      <c r="H282" s="386"/>
      <c r="I282" s="385"/>
      <c r="J282" s="385"/>
      <c r="K282" s="385"/>
      <c r="L282" s="385"/>
      <c r="M282" s="385"/>
    </row>
    <row r="283" spans="2:13" x14ac:dyDescent="0.25">
      <c r="B283" s="385"/>
      <c r="C283" s="384"/>
      <c r="G283" s="385"/>
      <c r="H283" s="386"/>
      <c r="I283" s="385"/>
      <c r="J283" s="385"/>
      <c r="K283" s="385"/>
      <c r="L283" s="385"/>
      <c r="M283" s="385"/>
    </row>
    <row r="284" spans="2:13" x14ac:dyDescent="0.25">
      <c r="B284" s="385"/>
      <c r="C284" s="384"/>
      <c r="G284" s="385"/>
      <c r="H284" s="386"/>
      <c r="I284" s="385"/>
      <c r="J284" s="385"/>
      <c r="K284" s="385"/>
      <c r="L284" s="385"/>
      <c r="M284" s="385"/>
    </row>
    <row r="285" spans="2:13" x14ac:dyDescent="0.25">
      <c r="B285" s="385"/>
      <c r="C285" s="384"/>
      <c r="G285" s="385"/>
      <c r="H285" s="386"/>
      <c r="I285" s="385"/>
      <c r="J285" s="385"/>
      <c r="K285" s="385"/>
      <c r="L285" s="385"/>
      <c r="M285" s="385"/>
    </row>
    <row r="286" spans="2:13" x14ac:dyDescent="0.25">
      <c r="B286" s="385"/>
      <c r="C286" s="384"/>
      <c r="G286" s="385"/>
      <c r="H286" s="386"/>
      <c r="I286" s="385"/>
      <c r="J286" s="385"/>
      <c r="K286" s="385"/>
      <c r="L286" s="385"/>
      <c r="M286" s="385"/>
    </row>
    <row r="287" spans="2:13" x14ac:dyDescent="0.25">
      <c r="B287" s="385"/>
      <c r="C287" s="384"/>
      <c r="G287" s="385"/>
      <c r="H287" s="386"/>
      <c r="I287" s="385"/>
      <c r="J287" s="385"/>
      <c r="K287" s="385"/>
      <c r="L287" s="385"/>
      <c r="M287" s="385"/>
    </row>
    <row r="288" spans="2:13" x14ac:dyDescent="0.25">
      <c r="B288" s="379"/>
      <c r="C288" s="384"/>
      <c r="G288" s="385"/>
      <c r="H288" s="386"/>
      <c r="I288" s="385"/>
      <c r="J288" s="385"/>
      <c r="K288" s="385"/>
      <c r="L288" s="385"/>
      <c r="M288" s="385"/>
    </row>
    <row r="289" spans="2:13" x14ac:dyDescent="0.25">
      <c r="C289" s="384"/>
      <c r="G289" s="385"/>
      <c r="H289" s="386"/>
      <c r="I289" s="385"/>
      <c r="J289" s="385"/>
      <c r="K289" s="385"/>
      <c r="L289" s="385"/>
      <c r="M289" s="385"/>
    </row>
    <row r="290" spans="2:13" x14ac:dyDescent="0.25">
      <c r="B290" s="379"/>
      <c r="C290" s="384"/>
      <c r="G290" s="385"/>
      <c r="H290" s="386"/>
      <c r="I290" s="385"/>
      <c r="J290" s="385"/>
      <c r="K290" s="385"/>
      <c r="L290" s="385"/>
      <c r="M290" s="385"/>
    </row>
    <row r="291" spans="2:13" x14ac:dyDescent="0.25">
      <c r="C291" s="384"/>
      <c r="G291" s="385"/>
      <c r="H291" s="386"/>
      <c r="I291" s="385"/>
      <c r="J291" s="385"/>
      <c r="K291" s="385"/>
      <c r="L291" s="385"/>
      <c r="M291" s="385"/>
    </row>
    <row r="292" spans="2:13" x14ac:dyDescent="0.25">
      <c r="B292" s="385"/>
      <c r="C292" s="384"/>
      <c r="G292" s="385"/>
      <c r="H292" s="386"/>
      <c r="I292" s="385"/>
      <c r="J292" s="385"/>
      <c r="K292" s="385"/>
      <c r="L292" s="385"/>
      <c r="M292" s="385"/>
    </row>
    <row r="293" spans="2:13" x14ac:dyDescent="0.25">
      <c r="B293" s="385"/>
      <c r="C293" s="384"/>
      <c r="G293" s="385"/>
      <c r="H293" s="386"/>
      <c r="I293" s="385"/>
      <c r="J293" s="385"/>
      <c r="K293" s="385"/>
      <c r="L293" s="385"/>
      <c r="M293" s="385"/>
    </row>
    <row r="294" spans="2:13" x14ac:dyDescent="0.25">
      <c r="B294" s="385"/>
      <c r="C294" s="384"/>
      <c r="G294" s="385"/>
      <c r="H294" s="386"/>
      <c r="I294" s="385"/>
      <c r="J294" s="385"/>
      <c r="K294" s="385"/>
      <c r="L294" s="385"/>
      <c r="M294" s="385"/>
    </row>
    <row r="295" spans="2:13" x14ac:dyDescent="0.25">
      <c r="B295" s="379"/>
      <c r="C295" s="384"/>
      <c r="G295" s="385"/>
      <c r="H295" s="386"/>
      <c r="I295" s="385"/>
      <c r="J295" s="385"/>
      <c r="K295" s="385"/>
      <c r="L295" s="385"/>
      <c r="M295" s="385"/>
    </row>
    <row r="296" spans="2:13" x14ac:dyDescent="0.25">
      <c r="C296" s="384"/>
      <c r="G296" s="385"/>
      <c r="H296" s="386"/>
      <c r="I296" s="385"/>
      <c r="J296" s="385"/>
      <c r="K296" s="385"/>
      <c r="L296" s="385"/>
      <c r="M296" s="385"/>
    </row>
    <row r="297" spans="2:13" x14ac:dyDescent="0.25">
      <c r="B297" s="385"/>
      <c r="C297" s="384"/>
      <c r="G297" s="385"/>
      <c r="H297" s="386"/>
      <c r="I297" s="385"/>
      <c r="J297" s="385"/>
      <c r="K297" s="385"/>
      <c r="L297" s="385"/>
      <c r="M297" s="385"/>
    </row>
    <row r="298" spans="2:13" x14ac:dyDescent="0.25">
      <c r="B298" s="385"/>
      <c r="C298" s="384"/>
      <c r="G298" s="385"/>
      <c r="H298" s="386"/>
      <c r="I298" s="385"/>
      <c r="J298" s="385"/>
      <c r="K298" s="385"/>
      <c r="L298" s="385"/>
      <c r="M298" s="385"/>
    </row>
    <row r="299" spans="2:13" x14ac:dyDescent="0.25">
      <c r="B299" s="379"/>
      <c r="C299" s="384"/>
      <c r="G299" s="385"/>
      <c r="H299" s="386"/>
      <c r="I299" s="385"/>
      <c r="J299" s="385"/>
      <c r="K299" s="385"/>
      <c r="L299" s="385"/>
      <c r="M299" s="385"/>
    </row>
    <row r="300" spans="2:13" x14ac:dyDescent="0.25">
      <c r="C300" s="384"/>
      <c r="G300" s="385"/>
      <c r="H300" s="386"/>
      <c r="I300" s="385"/>
      <c r="J300" s="385"/>
      <c r="K300" s="385"/>
      <c r="L300" s="385"/>
      <c r="M300" s="385"/>
    </row>
    <row r="301" spans="2:13" x14ac:dyDescent="0.25">
      <c r="B301" s="570"/>
      <c r="C301" s="390"/>
      <c r="G301" s="385"/>
      <c r="H301" s="386"/>
      <c r="I301" s="385"/>
      <c r="J301" s="385"/>
      <c r="K301" s="385"/>
      <c r="L301" s="385"/>
      <c r="M301" s="385"/>
    </row>
    <row r="302" spans="2:13" x14ac:dyDescent="0.25">
      <c r="B302" s="379"/>
      <c r="C302" s="384"/>
      <c r="G302" s="385"/>
      <c r="H302" s="386"/>
      <c r="I302" s="385"/>
      <c r="J302" s="385"/>
      <c r="K302" s="385"/>
      <c r="L302" s="385"/>
      <c r="M302" s="385"/>
    </row>
    <row r="303" spans="2:13" x14ac:dyDescent="0.25">
      <c r="B303" s="379"/>
      <c r="C303" s="384"/>
      <c r="G303" s="385"/>
      <c r="H303" s="386"/>
      <c r="I303" s="385"/>
      <c r="J303" s="385"/>
      <c r="K303" s="385"/>
      <c r="L303" s="385"/>
      <c r="M303" s="385"/>
    </row>
    <row r="304" spans="2:13" x14ac:dyDescent="0.25">
      <c r="C304" s="390"/>
      <c r="G304" s="385"/>
      <c r="H304" s="386"/>
      <c r="I304" s="385"/>
      <c r="J304" s="385"/>
      <c r="K304" s="385"/>
      <c r="L304" s="385"/>
      <c r="M304" s="385"/>
    </row>
    <row r="305" spans="7:14" x14ac:dyDescent="0.25">
      <c r="G305" s="385"/>
      <c r="H305" s="386"/>
      <c r="I305" s="385"/>
      <c r="J305" s="385"/>
      <c r="K305" s="385"/>
      <c r="L305" s="385"/>
      <c r="M305" s="385"/>
    </row>
    <row r="306" spans="7:14" x14ac:dyDescent="0.25">
      <c r="K306" s="391"/>
      <c r="L306" s="391"/>
      <c r="M306" s="391"/>
      <c r="N306" s="392"/>
    </row>
    <row r="307" spans="7:14" x14ac:dyDescent="0.25">
      <c r="K307" s="391"/>
      <c r="L307" s="391"/>
      <c r="M307" s="391"/>
      <c r="N307" s="392"/>
    </row>
    <row r="308" spans="7:14" x14ac:dyDescent="0.25">
      <c r="K308" s="391"/>
      <c r="L308" s="391"/>
      <c r="M308" s="391"/>
      <c r="N308" s="392"/>
    </row>
    <row r="309" spans="7:14" x14ac:dyDescent="0.25">
      <c r="K309" s="391"/>
      <c r="L309" s="391"/>
      <c r="M309" s="391"/>
      <c r="N309" s="392"/>
    </row>
    <row r="310" spans="7:14" x14ac:dyDescent="0.25">
      <c r="K310" s="391"/>
      <c r="L310" s="391"/>
      <c r="M310" s="391"/>
      <c r="N310" s="392"/>
    </row>
    <row r="311" spans="7:14" x14ac:dyDescent="0.25">
      <c r="K311" s="391"/>
      <c r="L311" s="391"/>
      <c r="M311" s="391"/>
    </row>
  </sheetData>
  <autoFilter ref="A9:H33"/>
  <mergeCells count="12">
    <mergeCell ref="A33:D33"/>
    <mergeCell ref="G33:H33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62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C000"/>
    <pageSetUpPr fitToPage="1"/>
  </sheetPr>
  <dimension ref="B1:K37"/>
  <sheetViews>
    <sheetView view="pageBreakPreview" zoomScale="80" zoomScaleNormal="100" zoomScaleSheetLayoutView="80" workbookViewId="0">
      <selection activeCell="K21" sqref="K21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13.9" x14ac:dyDescent="0.3">
      <c r="B2" s="396" t="str">
        <f>'08-DO'!B2</f>
        <v>PROIECT : Extindere infrastructură educațională – Centrul Școlar pentru Educație înclusivă „Constantin Pufan”</v>
      </c>
      <c r="C2" s="411"/>
      <c r="D2" s="36"/>
      <c r="E2" s="36"/>
      <c r="F2" s="36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e">
        <f>DG!#REF!</f>
        <v>#REF!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3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 t="e">
        <f>#REF!</f>
        <v>#REF!</v>
      </c>
      <c r="E22" s="430" t="e">
        <f t="shared" si="2"/>
        <v>#REF!</v>
      </c>
      <c r="F22" s="834" t="e">
        <f t="shared" si="3"/>
        <v>#REF!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</row>
    <row r="32" spans="2:9" ht="13.9" x14ac:dyDescent="0.3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 t="s">
        <v>1448</v>
      </c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8">
    <mergeCell ref="B30:C30"/>
    <mergeCell ref="B31:C31"/>
    <mergeCell ref="B4:F5"/>
    <mergeCell ref="B8:B9"/>
    <mergeCell ref="C8:C9"/>
    <mergeCell ref="B11:F11"/>
    <mergeCell ref="B23:C23"/>
    <mergeCell ref="B25:C25"/>
  </mergeCells>
  <pageMargins left="0.7" right="0.7" top="0.75" bottom="0.75" header="0.3" footer="0.3"/>
  <pageSetup paperSize="9" scale="84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C000"/>
    <pageSetUpPr fitToPage="1"/>
  </sheetPr>
  <dimension ref="B1:K37"/>
  <sheetViews>
    <sheetView view="pageBreakPreview" zoomScale="80" zoomScaleNormal="100" zoomScaleSheetLayoutView="80" workbookViewId="0">
      <selection activeCell="D42" sqref="D42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13.9" x14ac:dyDescent="0.3">
      <c r="B2" s="396" t="str">
        <f>'09-DO'!B2</f>
        <v>PROIECT : Extindere infrastructură educațională – Centrul Școlar pentru Educație înclusivă „Constantin Pufan”</v>
      </c>
      <c r="C2" s="411"/>
      <c r="D2" s="36"/>
      <c r="E2" s="36"/>
      <c r="F2" s="36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DG!C25</f>
        <v>Cheltuieli pentru realizarea branșamentului de gaz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3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 t="e">
        <f>#REF!</f>
        <v>#REF!</v>
      </c>
      <c r="E22" s="430" t="e">
        <f t="shared" si="2"/>
        <v>#REF!</v>
      </c>
      <c r="F22" s="834" t="e">
        <f t="shared" si="3"/>
        <v>#REF!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</row>
    <row r="32" spans="2:9" ht="13.9" x14ac:dyDescent="0.3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 t="s">
        <v>1448</v>
      </c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8">
    <mergeCell ref="B30:C30"/>
    <mergeCell ref="B31:C31"/>
    <mergeCell ref="B4:F5"/>
    <mergeCell ref="B8:B9"/>
    <mergeCell ref="C8:C9"/>
    <mergeCell ref="B11:F11"/>
    <mergeCell ref="B23:C23"/>
    <mergeCell ref="B25:C25"/>
  </mergeCells>
  <pageMargins left="0.7" right="0.7" top="0.75" bottom="0.75" header="0.3" footer="0.3"/>
  <pageSetup paperSize="9" scale="84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theme="0" tint="-0.499984740745262"/>
    <pageSetUpPr fitToPage="1"/>
  </sheetPr>
  <dimension ref="A1:P308"/>
  <sheetViews>
    <sheetView view="pageBreakPreview" zoomScale="80" zoomScaleNormal="70" zoomScaleSheetLayoutView="80" workbookViewId="0">
      <selection activeCell="B28" sqref="B28"/>
    </sheetView>
  </sheetViews>
  <sheetFormatPr defaultColWidth="10.7109375" defaultRowHeight="12.75" x14ac:dyDescent="0.25"/>
  <cols>
    <col min="1" max="1" width="7.85546875" style="360" customWidth="1"/>
    <col min="2" max="2" width="38" style="373" customWidth="1"/>
    <col min="3" max="3" width="8.42578125" style="374" customWidth="1"/>
    <col min="4" max="4" width="15.7109375" style="375" customWidth="1"/>
    <col min="5" max="5" width="17.85546875" style="375" customWidth="1"/>
    <col min="6" max="6" width="31.85546875" style="360" hidden="1" customWidth="1"/>
    <col min="7" max="7" width="33.28515625" style="360" customWidth="1"/>
    <col min="8" max="255" width="10.7109375" style="360"/>
    <col min="256" max="256" width="13.140625" style="360" customWidth="1"/>
    <col min="257" max="257" width="38" style="360" customWidth="1"/>
    <col min="258" max="258" width="8.42578125" style="360" customWidth="1"/>
    <col min="259" max="259" width="15.7109375" style="360" customWidth="1"/>
    <col min="260" max="260" width="18.28515625" style="360" customWidth="1"/>
    <col min="261" max="261" width="17.85546875" style="360" customWidth="1"/>
    <col min="262" max="262" width="0" style="360" hidden="1" customWidth="1"/>
    <col min="263" max="263" width="33.28515625" style="360" customWidth="1"/>
    <col min="264" max="511" width="10.7109375" style="360"/>
    <col min="512" max="512" width="13.140625" style="360" customWidth="1"/>
    <col min="513" max="513" width="38" style="360" customWidth="1"/>
    <col min="514" max="514" width="8.42578125" style="360" customWidth="1"/>
    <col min="515" max="515" width="15.7109375" style="360" customWidth="1"/>
    <col min="516" max="516" width="18.28515625" style="360" customWidth="1"/>
    <col min="517" max="517" width="17.85546875" style="360" customWidth="1"/>
    <col min="518" max="518" width="0" style="360" hidden="1" customWidth="1"/>
    <col min="519" max="519" width="33.28515625" style="360" customWidth="1"/>
    <col min="520" max="767" width="10.7109375" style="360"/>
    <col min="768" max="768" width="13.140625" style="360" customWidth="1"/>
    <col min="769" max="769" width="38" style="360" customWidth="1"/>
    <col min="770" max="770" width="8.42578125" style="360" customWidth="1"/>
    <col min="771" max="771" width="15.7109375" style="360" customWidth="1"/>
    <col min="772" max="772" width="18.28515625" style="360" customWidth="1"/>
    <col min="773" max="773" width="17.85546875" style="360" customWidth="1"/>
    <col min="774" max="774" width="0" style="360" hidden="1" customWidth="1"/>
    <col min="775" max="775" width="33.28515625" style="360" customWidth="1"/>
    <col min="776" max="1023" width="10.7109375" style="360"/>
    <col min="1024" max="1024" width="13.140625" style="360" customWidth="1"/>
    <col min="1025" max="1025" width="38" style="360" customWidth="1"/>
    <col min="1026" max="1026" width="8.42578125" style="360" customWidth="1"/>
    <col min="1027" max="1027" width="15.7109375" style="360" customWidth="1"/>
    <col min="1028" max="1028" width="18.28515625" style="360" customWidth="1"/>
    <col min="1029" max="1029" width="17.85546875" style="360" customWidth="1"/>
    <col min="1030" max="1030" width="0" style="360" hidden="1" customWidth="1"/>
    <col min="1031" max="1031" width="33.28515625" style="360" customWidth="1"/>
    <col min="1032" max="1279" width="10.7109375" style="360"/>
    <col min="1280" max="1280" width="13.140625" style="360" customWidth="1"/>
    <col min="1281" max="1281" width="38" style="360" customWidth="1"/>
    <col min="1282" max="1282" width="8.42578125" style="360" customWidth="1"/>
    <col min="1283" max="1283" width="15.7109375" style="360" customWidth="1"/>
    <col min="1284" max="1284" width="18.28515625" style="360" customWidth="1"/>
    <col min="1285" max="1285" width="17.85546875" style="360" customWidth="1"/>
    <col min="1286" max="1286" width="0" style="360" hidden="1" customWidth="1"/>
    <col min="1287" max="1287" width="33.28515625" style="360" customWidth="1"/>
    <col min="1288" max="1535" width="10.7109375" style="360"/>
    <col min="1536" max="1536" width="13.140625" style="360" customWidth="1"/>
    <col min="1537" max="1537" width="38" style="360" customWidth="1"/>
    <col min="1538" max="1538" width="8.42578125" style="360" customWidth="1"/>
    <col min="1539" max="1539" width="15.7109375" style="360" customWidth="1"/>
    <col min="1540" max="1540" width="18.28515625" style="360" customWidth="1"/>
    <col min="1541" max="1541" width="17.85546875" style="360" customWidth="1"/>
    <col min="1542" max="1542" width="0" style="360" hidden="1" customWidth="1"/>
    <col min="1543" max="1543" width="33.28515625" style="360" customWidth="1"/>
    <col min="1544" max="1791" width="10.7109375" style="360"/>
    <col min="1792" max="1792" width="13.140625" style="360" customWidth="1"/>
    <col min="1793" max="1793" width="38" style="360" customWidth="1"/>
    <col min="1794" max="1794" width="8.42578125" style="360" customWidth="1"/>
    <col min="1795" max="1795" width="15.7109375" style="360" customWidth="1"/>
    <col min="1796" max="1796" width="18.28515625" style="360" customWidth="1"/>
    <col min="1797" max="1797" width="17.85546875" style="360" customWidth="1"/>
    <col min="1798" max="1798" width="0" style="360" hidden="1" customWidth="1"/>
    <col min="1799" max="1799" width="33.28515625" style="360" customWidth="1"/>
    <col min="1800" max="2047" width="10.7109375" style="360"/>
    <col min="2048" max="2048" width="13.140625" style="360" customWidth="1"/>
    <col min="2049" max="2049" width="38" style="360" customWidth="1"/>
    <col min="2050" max="2050" width="8.42578125" style="360" customWidth="1"/>
    <col min="2051" max="2051" width="15.7109375" style="360" customWidth="1"/>
    <col min="2052" max="2052" width="18.28515625" style="360" customWidth="1"/>
    <col min="2053" max="2053" width="17.85546875" style="360" customWidth="1"/>
    <col min="2054" max="2054" width="0" style="360" hidden="1" customWidth="1"/>
    <col min="2055" max="2055" width="33.28515625" style="360" customWidth="1"/>
    <col min="2056" max="2303" width="10.7109375" style="360"/>
    <col min="2304" max="2304" width="13.140625" style="360" customWidth="1"/>
    <col min="2305" max="2305" width="38" style="360" customWidth="1"/>
    <col min="2306" max="2306" width="8.42578125" style="360" customWidth="1"/>
    <col min="2307" max="2307" width="15.7109375" style="360" customWidth="1"/>
    <col min="2308" max="2308" width="18.28515625" style="360" customWidth="1"/>
    <col min="2309" max="2309" width="17.85546875" style="360" customWidth="1"/>
    <col min="2310" max="2310" width="0" style="360" hidden="1" customWidth="1"/>
    <col min="2311" max="2311" width="33.28515625" style="360" customWidth="1"/>
    <col min="2312" max="2559" width="10.7109375" style="360"/>
    <col min="2560" max="2560" width="13.140625" style="360" customWidth="1"/>
    <col min="2561" max="2561" width="38" style="360" customWidth="1"/>
    <col min="2562" max="2562" width="8.42578125" style="360" customWidth="1"/>
    <col min="2563" max="2563" width="15.7109375" style="360" customWidth="1"/>
    <col min="2564" max="2564" width="18.28515625" style="360" customWidth="1"/>
    <col min="2565" max="2565" width="17.85546875" style="360" customWidth="1"/>
    <col min="2566" max="2566" width="0" style="360" hidden="1" customWidth="1"/>
    <col min="2567" max="2567" width="33.28515625" style="360" customWidth="1"/>
    <col min="2568" max="2815" width="10.7109375" style="360"/>
    <col min="2816" max="2816" width="13.140625" style="360" customWidth="1"/>
    <col min="2817" max="2817" width="38" style="360" customWidth="1"/>
    <col min="2818" max="2818" width="8.42578125" style="360" customWidth="1"/>
    <col min="2819" max="2819" width="15.7109375" style="360" customWidth="1"/>
    <col min="2820" max="2820" width="18.28515625" style="360" customWidth="1"/>
    <col min="2821" max="2821" width="17.85546875" style="360" customWidth="1"/>
    <col min="2822" max="2822" width="0" style="360" hidden="1" customWidth="1"/>
    <col min="2823" max="2823" width="33.28515625" style="360" customWidth="1"/>
    <col min="2824" max="3071" width="10.7109375" style="360"/>
    <col min="3072" max="3072" width="13.140625" style="360" customWidth="1"/>
    <col min="3073" max="3073" width="38" style="360" customWidth="1"/>
    <col min="3074" max="3074" width="8.42578125" style="360" customWidth="1"/>
    <col min="3075" max="3075" width="15.7109375" style="360" customWidth="1"/>
    <col min="3076" max="3076" width="18.28515625" style="360" customWidth="1"/>
    <col min="3077" max="3077" width="17.85546875" style="360" customWidth="1"/>
    <col min="3078" max="3078" width="0" style="360" hidden="1" customWidth="1"/>
    <col min="3079" max="3079" width="33.28515625" style="360" customWidth="1"/>
    <col min="3080" max="3327" width="10.7109375" style="360"/>
    <col min="3328" max="3328" width="13.140625" style="360" customWidth="1"/>
    <col min="3329" max="3329" width="38" style="360" customWidth="1"/>
    <col min="3330" max="3330" width="8.42578125" style="360" customWidth="1"/>
    <col min="3331" max="3331" width="15.7109375" style="360" customWidth="1"/>
    <col min="3332" max="3332" width="18.28515625" style="360" customWidth="1"/>
    <col min="3333" max="3333" width="17.85546875" style="360" customWidth="1"/>
    <col min="3334" max="3334" width="0" style="360" hidden="1" customWidth="1"/>
    <col min="3335" max="3335" width="33.28515625" style="360" customWidth="1"/>
    <col min="3336" max="3583" width="10.7109375" style="360"/>
    <col min="3584" max="3584" width="13.140625" style="360" customWidth="1"/>
    <col min="3585" max="3585" width="38" style="360" customWidth="1"/>
    <col min="3586" max="3586" width="8.42578125" style="360" customWidth="1"/>
    <col min="3587" max="3587" width="15.7109375" style="360" customWidth="1"/>
    <col min="3588" max="3588" width="18.28515625" style="360" customWidth="1"/>
    <col min="3589" max="3589" width="17.85546875" style="360" customWidth="1"/>
    <col min="3590" max="3590" width="0" style="360" hidden="1" customWidth="1"/>
    <col min="3591" max="3591" width="33.28515625" style="360" customWidth="1"/>
    <col min="3592" max="3839" width="10.7109375" style="360"/>
    <col min="3840" max="3840" width="13.140625" style="360" customWidth="1"/>
    <col min="3841" max="3841" width="38" style="360" customWidth="1"/>
    <col min="3842" max="3842" width="8.42578125" style="360" customWidth="1"/>
    <col min="3843" max="3843" width="15.7109375" style="360" customWidth="1"/>
    <col min="3844" max="3844" width="18.28515625" style="360" customWidth="1"/>
    <col min="3845" max="3845" width="17.85546875" style="360" customWidth="1"/>
    <col min="3846" max="3846" width="0" style="360" hidden="1" customWidth="1"/>
    <col min="3847" max="3847" width="33.28515625" style="360" customWidth="1"/>
    <col min="3848" max="4095" width="10.7109375" style="360"/>
    <col min="4096" max="4096" width="13.140625" style="360" customWidth="1"/>
    <col min="4097" max="4097" width="38" style="360" customWidth="1"/>
    <col min="4098" max="4098" width="8.42578125" style="360" customWidth="1"/>
    <col min="4099" max="4099" width="15.7109375" style="360" customWidth="1"/>
    <col min="4100" max="4100" width="18.28515625" style="360" customWidth="1"/>
    <col min="4101" max="4101" width="17.85546875" style="360" customWidth="1"/>
    <col min="4102" max="4102" width="0" style="360" hidden="1" customWidth="1"/>
    <col min="4103" max="4103" width="33.28515625" style="360" customWidth="1"/>
    <col min="4104" max="4351" width="10.7109375" style="360"/>
    <col min="4352" max="4352" width="13.140625" style="360" customWidth="1"/>
    <col min="4353" max="4353" width="38" style="360" customWidth="1"/>
    <col min="4354" max="4354" width="8.42578125" style="360" customWidth="1"/>
    <col min="4355" max="4355" width="15.7109375" style="360" customWidth="1"/>
    <col min="4356" max="4356" width="18.28515625" style="360" customWidth="1"/>
    <col min="4357" max="4357" width="17.85546875" style="360" customWidth="1"/>
    <col min="4358" max="4358" width="0" style="360" hidden="1" customWidth="1"/>
    <col min="4359" max="4359" width="33.28515625" style="360" customWidth="1"/>
    <col min="4360" max="4607" width="10.7109375" style="360"/>
    <col min="4608" max="4608" width="13.140625" style="360" customWidth="1"/>
    <col min="4609" max="4609" width="38" style="360" customWidth="1"/>
    <col min="4610" max="4610" width="8.42578125" style="360" customWidth="1"/>
    <col min="4611" max="4611" width="15.7109375" style="360" customWidth="1"/>
    <col min="4612" max="4612" width="18.28515625" style="360" customWidth="1"/>
    <col min="4613" max="4613" width="17.85546875" style="360" customWidth="1"/>
    <col min="4614" max="4614" width="0" style="360" hidden="1" customWidth="1"/>
    <col min="4615" max="4615" width="33.28515625" style="360" customWidth="1"/>
    <col min="4616" max="4863" width="10.7109375" style="360"/>
    <col min="4864" max="4864" width="13.140625" style="360" customWidth="1"/>
    <col min="4865" max="4865" width="38" style="360" customWidth="1"/>
    <col min="4866" max="4866" width="8.42578125" style="360" customWidth="1"/>
    <col min="4867" max="4867" width="15.7109375" style="360" customWidth="1"/>
    <col min="4868" max="4868" width="18.28515625" style="360" customWidth="1"/>
    <col min="4869" max="4869" width="17.85546875" style="360" customWidth="1"/>
    <col min="4870" max="4870" width="0" style="360" hidden="1" customWidth="1"/>
    <col min="4871" max="4871" width="33.28515625" style="360" customWidth="1"/>
    <col min="4872" max="5119" width="10.7109375" style="360"/>
    <col min="5120" max="5120" width="13.140625" style="360" customWidth="1"/>
    <col min="5121" max="5121" width="38" style="360" customWidth="1"/>
    <col min="5122" max="5122" width="8.42578125" style="360" customWidth="1"/>
    <col min="5123" max="5123" width="15.7109375" style="360" customWidth="1"/>
    <col min="5124" max="5124" width="18.28515625" style="360" customWidth="1"/>
    <col min="5125" max="5125" width="17.85546875" style="360" customWidth="1"/>
    <col min="5126" max="5126" width="0" style="360" hidden="1" customWidth="1"/>
    <col min="5127" max="5127" width="33.28515625" style="360" customWidth="1"/>
    <col min="5128" max="5375" width="10.7109375" style="360"/>
    <col min="5376" max="5376" width="13.140625" style="360" customWidth="1"/>
    <col min="5377" max="5377" width="38" style="360" customWidth="1"/>
    <col min="5378" max="5378" width="8.42578125" style="360" customWidth="1"/>
    <col min="5379" max="5379" width="15.7109375" style="360" customWidth="1"/>
    <col min="5380" max="5380" width="18.28515625" style="360" customWidth="1"/>
    <col min="5381" max="5381" width="17.85546875" style="360" customWidth="1"/>
    <col min="5382" max="5382" width="0" style="360" hidden="1" customWidth="1"/>
    <col min="5383" max="5383" width="33.28515625" style="360" customWidth="1"/>
    <col min="5384" max="5631" width="10.7109375" style="360"/>
    <col min="5632" max="5632" width="13.140625" style="360" customWidth="1"/>
    <col min="5633" max="5633" width="38" style="360" customWidth="1"/>
    <col min="5634" max="5634" width="8.42578125" style="360" customWidth="1"/>
    <col min="5635" max="5635" width="15.7109375" style="360" customWidth="1"/>
    <col min="5636" max="5636" width="18.28515625" style="360" customWidth="1"/>
    <col min="5637" max="5637" width="17.85546875" style="360" customWidth="1"/>
    <col min="5638" max="5638" width="0" style="360" hidden="1" customWidth="1"/>
    <col min="5639" max="5639" width="33.28515625" style="360" customWidth="1"/>
    <col min="5640" max="5887" width="10.7109375" style="360"/>
    <col min="5888" max="5888" width="13.140625" style="360" customWidth="1"/>
    <col min="5889" max="5889" width="38" style="360" customWidth="1"/>
    <col min="5890" max="5890" width="8.42578125" style="360" customWidth="1"/>
    <col min="5891" max="5891" width="15.7109375" style="360" customWidth="1"/>
    <col min="5892" max="5892" width="18.28515625" style="360" customWidth="1"/>
    <col min="5893" max="5893" width="17.85546875" style="360" customWidth="1"/>
    <col min="5894" max="5894" width="0" style="360" hidden="1" customWidth="1"/>
    <col min="5895" max="5895" width="33.28515625" style="360" customWidth="1"/>
    <col min="5896" max="6143" width="10.7109375" style="360"/>
    <col min="6144" max="6144" width="13.140625" style="360" customWidth="1"/>
    <col min="6145" max="6145" width="38" style="360" customWidth="1"/>
    <col min="6146" max="6146" width="8.42578125" style="360" customWidth="1"/>
    <col min="6147" max="6147" width="15.7109375" style="360" customWidth="1"/>
    <col min="6148" max="6148" width="18.28515625" style="360" customWidth="1"/>
    <col min="6149" max="6149" width="17.85546875" style="360" customWidth="1"/>
    <col min="6150" max="6150" width="0" style="360" hidden="1" customWidth="1"/>
    <col min="6151" max="6151" width="33.28515625" style="360" customWidth="1"/>
    <col min="6152" max="6399" width="10.7109375" style="360"/>
    <col min="6400" max="6400" width="13.140625" style="360" customWidth="1"/>
    <col min="6401" max="6401" width="38" style="360" customWidth="1"/>
    <col min="6402" max="6402" width="8.42578125" style="360" customWidth="1"/>
    <col min="6403" max="6403" width="15.7109375" style="360" customWidth="1"/>
    <col min="6404" max="6404" width="18.28515625" style="360" customWidth="1"/>
    <col min="6405" max="6405" width="17.85546875" style="360" customWidth="1"/>
    <col min="6406" max="6406" width="0" style="360" hidden="1" customWidth="1"/>
    <col min="6407" max="6407" width="33.28515625" style="360" customWidth="1"/>
    <col min="6408" max="6655" width="10.7109375" style="360"/>
    <col min="6656" max="6656" width="13.140625" style="360" customWidth="1"/>
    <col min="6657" max="6657" width="38" style="360" customWidth="1"/>
    <col min="6658" max="6658" width="8.42578125" style="360" customWidth="1"/>
    <col min="6659" max="6659" width="15.7109375" style="360" customWidth="1"/>
    <col min="6660" max="6660" width="18.28515625" style="360" customWidth="1"/>
    <col min="6661" max="6661" width="17.85546875" style="360" customWidth="1"/>
    <col min="6662" max="6662" width="0" style="360" hidden="1" customWidth="1"/>
    <col min="6663" max="6663" width="33.28515625" style="360" customWidth="1"/>
    <col min="6664" max="6911" width="10.7109375" style="360"/>
    <col min="6912" max="6912" width="13.140625" style="360" customWidth="1"/>
    <col min="6913" max="6913" width="38" style="360" customWidth="1"/>
    <col min="6914" max="6914" width="8.42578125" style="360" customWidth="1"/>
    <col min="6915" max="6915" width="15.7109375" style="360" customWidth="1"/>
    <col min="6916" max="6916" width="18.28515625" style="360" customWidth="1"/>
    <col min="6917" max="6917" width="17.85546875" style="360" customWidth="1"/>
    <col min="6918" max="6918" width="0" style="360" hidden="1" customWidth="1"/>
    <col min="6919" max="6919" width="33.28515625" style="360" customWidth="1"/>
    <col min="6920" max="7167" width="10.7109375" style="360"/>
    <col min="7168" max="7168" width="13.140625" style="360" customWidth="1"/>
    <col min="7169" max="7169" width="38" style="360" customWidth="1"/>
    <col min="7170" max="7170" width="8.42578125" style="360" customWidth="1"/>
    <col min="7171" max="7171" width="15.7109375" style="360" customWidth="1"/>
    <col min="7172" max="7172" width="18.28515625" style="360" customWidth="1"/>
    <col min="7173" max="7173" width="17.85546875" style="360" customWidth="1"/>
    <col min="7174" max="7174" width="0" style="360" hidden="1" customWidth="1"/>
    <col min="7175" max="7175" width="33.28515625" style="360" customWidth="1"/>
    <col min="7176" max="7423" width="10.7109375" style="360"/>
    <col min="7424" max="7424" width="13.140625" style="360" customWidth="1"/>
    <col min="7425" max="7425" width="38" style="360" customWidth="1"/>
    <col min="7426" max="7426" width="8.42578125" style="360" customWidth="1"/>
    <col min="7427" max="7427" width="15.7109375" style="360" customWidth="1"/>
    <col min="7428" max="7428" width="18.28515625" style="360" customWidth="1"/>
    <col min="7429" max="7429" width="17.85546875" style="360" customWidth="1"/>
    <col min="7430" max="7430" width="0" style="360" hidden="1" customWidth="1"/>
    <col min="7431" max="7431" width="33.28515625" style="360" customWidth="1"/>
    <col min="7432" max="7679" width="10.7109375" style="360"/>
    <col min="7680" max="7680" width="13.140625" style="360" customWidth="1"/>
    <col min="7681" max="7681" width="38" style="360" customWidth="1"/>
    <col min="7682" max="7682" width="8.42578125" style="360" customWidth="1"/>
    <col min="7683" max="7683" width="15.7109375" style="360" customWidth="1"/>
    <col min="7684" max="7684" width="18.28515625" style="360" customWidth="1"/>
    <col min="7685" max="7685" width="17.85546875" style="360" customWidth="1"/>
    <col min="7686" max="7686" width="0" style="360" hidden="1" customWidth="1"/>
    <col min="7687" max="7687" width="33.28515625" style="360" customWidth="1"/>
    <col min="7688" max="7935" width="10.7109375" style="360"/>
    <col min="7936" max="7936" width="13.140625" style="360" customWidth="1"/>
    <col min="7937" max="7937" width="38" style="360" customWidth="1"/>
    <col min="7938" max="7938" width="8.42578125" style="360" customWidth="1"/>
    <col min="7939" max="7939" width="15.7109375" style="360" customWidth="1"/>
    <col min="7940" max="7940" width="18.28515625" style="360" customWidth="1"/>
    <col min="7941" max="7941" width="17.85546875" style="360" customWidth="1"/>
    <col min="7942" max="7942" width="0" style="360" hidden="1" customWidth="1"/>
    <col min="7943" max="7943" width="33.28515625" style="360" customWidth="1"/>
    <col min="7944" max="8191" width="10.7109375" style="360"/>
    <col min="8192" max="8192" width="13.140625" style="360" customWidth="1"/>
    <col min="8193" max="8193" width="38" style="360" customWidth="1"/>
    <col min="8194" max="8194" width="8.42578125" style="360" customWidth="1"/>
    <col min="8195" max="8195" width="15.7109375" style="360" customWidth="1"/>
    <col min="8196" max="8196" width="18.28515625" style="360" customWidth="1"/>
    <col min="8197" max="8197" width="17.85546875" style="360" customWidth="1"/>
    <col min="8198" max="8198" width="0" style="360" hidden="1" customWidth="1"/>
    <col min="8199" max="8199" width="33.28515625" style="360" customWidth="1"/>
    <col min="8200" max="8447" width="10.7109375" style="360"/>
    <col min="8448" max="8448" width="13.140625" style="360" customWidth="1"/>
    <col min="8449" max="8449" width="38" style="360" customWidth="1"/>
    <col min="8450" max="8450" width="8.42578125" style="360" customWidth="1"/>
    <col min="8451" max="8451" width="15.7109375" style="360" customWidth="1"/>
    <col min="8452" max="8452" width="18.28515625" style="360" customWidth="1"/>
    <col min="8453" max="8453" width="17.85546875" style="360" customWidth="1"/>
    <col min="8454" max="8454" width="0" style="360" hidden="1" customWidth="1"/>
    <col min="8455" max="8455" width="33.28515625" style="360" customWidth="1"/>
    <col min="8456" max="8703" width="10.7109375" style="360"/>
    <col min="8704" max="8704" width="13.140625" style="360" customWidth="1"/>
    <col min="8705" max="8705" width="38" style="360" customWidth="1"/>
    <col min="8706" max="8706" width="8.42578125" style="360" customWidth="1"/>
    <col min="8707" max="8707" width="15.7109375" style="360" customWidth="1"/>
    <col min="8708" max="8708" width="18.28515625" style="360" customWidth="1"/>
    <col min="8709" max="8709" width="17.85546875" style="360" customWidth="1"/>
    <col min="8710" max="8710" width="0" style="360" hidden="1" customWidth="1"/>
    <col min="8711" max="8711" width="33.28515625" style="360" customWidth="1"/>
    <col min="8712" max="8959" width="10.7109375" style="360"/>
    <col min="8960" max="8960" width="13.140625" style="360" customWidth="1"/>
    <col min="8961" max="8961" width="38" style="360" customWidth="1"/>
    <col min="8962" max="8962" width="8.42578125" style="360" customWidth="1"/>
    <col min="8963" max="8963" width="15.7109375" style="360" customWidth="1"/>
    <col min="8964" max="8964" width="18.28515625" style="360" customWidth="1"/>
    <col min="8965" max="8965" width="17.85546875" style="360" customWidth="1"/>
    <col min="8966" max="8966" width="0" style="360" hidden="1" customWidth="1"/>
    <col min="8967" max="8967" width="33.28515625" style="360" customWidth="1"/>
    <col min="8968" max="9215" width="10.7109375" style="360"/>
    <col min="9216" max="9216" width="13.140625" style="360" customWidth="1"/>
    <col min="9217" max="9217" width="38" style="360" customWidth="1"/>
    <col min="9218" max="9218" width="8.42578125" style="360" customWidth="1"/>
    <col min="9219" max="9219" width="15.7109375" style="360" customWidth="1"/>
    <col min="9220" max="9220" width="18.28515625" style="360" customWidth="1"/>
    <col min="9221" max="9221" width="17.85546875" style="360" customWidth="1"/>
    <col min="9222" max="9222" width="0" style="360" hidden="1" customWidth="1"/>
    <col min="9223" max="9223" width="33.28515625" style="360" customWidth="1"/>
    <col min="9224" max="9471" width="10.7109375" style="360"/>
    <col min="9472" max="9472" width="13.140625" style="360" customWidth="1"/>
    <col min="9473" max="9473" width="38" style="360" customWidth="1"/>
    <col min="9474" max="9474" width="8.42578125" style="360" customWidth="1"/>
    <col min="9475" max="9475" width="15.7109375" style="360" customWidth="1"/>
    <col min="9476" max="9476" width="18.28515625" style="360" customWidth="1"/>
    <col min="9477" max="9477" width="17.85546875" style="360" customWidth="1"/>
    <col min="9478" max="9478" width="0" style="360" hidden="1" customWidth="1"/>
    <col min="9479" max="9479" width="33.28515625" style="360" customWidth="1"/>
    <col min="9480" max="9727" width="10.7109375" style="360"/>
    <col min="9728" max="9728" width="13.140625" style="360" customWidth="1"/>
    <col min="9729" max="9729" width="38" style="360" customWidth="1"/>
    <col min="9730" max="9730" width="8.42578125" style="360" customWidth="1"/>
    <col min="9731" max="9731" width="15.7109375" style="360" customWidth="1"/>
    <col min="9732" max="9732" width="18.28515625" style="360" customWidth="1"/>
    <col min="9733" max="9733" width="17.85546875" style="360" customWidth="1"/>
    <col min="9734" max="9734" width="0" style="360" hidden="1" customWidth="1"/>
    <col min="9735" max="9735" width="33.28515625" style="360" customWidth="1"/>
    <col min="9736" max="9983" width="10.7109375" style="360"/>
    <col min="9984" max="9984" width="13.140625" style="360" customWidth="1"/>
    <col min="9985" max="9985" width="38" style="360" customWidth="1"/>
    <col min="9986" max="9986" width="8.42578125" style="360" customWidth="1"/>
    <col min="9987" max="9987" width="15.7109375" style="360" customWidth="1"/>
    <col min="9988" max="9988" width="18.28515625" style="360" customWidth="1"/>
    <col min="9989" max="9989" width="17.85546875" style="360" customWidth="1"/>
    <col min="9990" max="9990" width="0" style="360" hidden="1" customWidth="1"/>
    <col min="9991" max="9991" width="33.28515625" style="360" customWidth="1"/>
    <col min="9992" max="10239" width="10.7109375" style="360"/>
    <col min="10240" max="10240" width="13.140625" style="360" customWidth="1"/>
    <col min="10241" max="10241" width="38" style="360" customWidth="1"/>
    <col min="10242" max="10242" width="8.42578125" style="360" customWidth="1"/>
    <col min="10243" max="10243" width="15.7109375" style="360" customWidth="1"/>
    <col min="10244" max="10244" width="18.28515625" style="360" customWidth="1"/>
    <col min="10245" max="10245" width="17.85546875" style="360" customWidth="1"/>
    <col min="10246" max="10246" width="0" style="360" hidden="1" customWidth="1"/>
    <col min="10247" max="10247" width="33.28515625" style="360" customWidth="1"/>
    <col min="10248" max="10495" width="10.7109375" style="360"/>
    <col min="10496" max="10496" width="13.140625" style="360" customWidth="1"/>
    <col min="10497" max="10497" width="38" style="360" customWidth="1"/>
    <col min="10498" max="10498" width="8.42578125" style="360" customWidth="1"/>
    <col min="10499" max="10499" width="15.7109375" style="360" customWidth="1"/>
    <col min="10500" max="10500" width="18.28515625" style="360" customWidth="1"/>
    <col min="10501" max="10501" width="17.85546875" style="360" customWidth="1"/>
    <col min="10502" max="10502" width="0" style="360" hidden="1" customWidth="1"/>
    <col min="10503" max="10503" width="33.28515625" style="360" customWidth="1"/>
    <col min="10504" max="10751" width="10.7109375" style="360"/>
    <col min="10752" max="10752" width="13.140625" style="360" customWidth="1"/>
    <col min="10753" max="10753" width="38" style="360" customWidth="1"/>
    <col min="10754" max="10754" width="8.42578125" style="360" customWidth="1"/>
    <col min="10755" max="10755" width="15.7109375" style="360" customWidth="1"/>
    <col min="10756" max="10756" width="18.28515625" style="360" customWidth="1"/>
    <col min="10757" max="10757" width="17.85546875" style="360" customWidth="1"/>
    <col min="10758" max="10758" width="0" style="360" hidden="1" customWidth="1"/>
    <col min="10759" max="10759" width="33.28515625" style="360" customWidth="1"/>
    <col min="10760" max="11007" width="10.7109375" style="360"/>
    <col min="11008" max="11008" width="13.140625" style="360" customWidth="1"/>
    <col min="11009" max="11009" width="38" style="360" customWidth="1"/>
    <col min="11010" max="11010" width="8.42578125" style="360" customWidth="1"/>
    <col min="11011" max="11011" width="15.7109375" style="360" customWidth="1"/>
    <col min="11012" max="11012" width="18.28515625" style="360" customWidth="1"/>
    <col min="11013" max="11013" width="17.85546875" style="360" customWidth="1"/>
    <col min="11014" max="11014" width="0" style="360" hidden="1" customWidth="1"/>
    <col min="11015" max="11015" width="33.28515625" style="360" customWidth="1"/>
    <col min="11016" max="11263" width="10.7109375" style="360"/>
    <col min="11264" max="11264" width="13.140625" style="360" customWidth="1"/>
    <col min="11265" max="11265" width="38" style="360" customWidth="1"/>
    <col min="11266" max="11266" width="8.42578125" style="360" customWidth="1"/>
    <col min="11267" max="11267" width="15.7109375" style="360" customWidth="1"/>
    <col min="11268" max="11268" width="18.28515625" style="360" customWidth="1"/>
    <col min="11269" max="11269" width="17.85546875" style="360" customWidth="1"/>
    <col min="11270" max="11270" width="0" style="360" hidden="1" customWidth="1"/>
    <col min="11271" max="11271" width="33.28515625" style="360" customWidth="1"/>
    <col min="11272" max="11519" width="10.7109375" style="360"/>
    <col min="11520" max="11520" width="13.140625" style="360" customWidth="1"/>
    <col min="11521" max="11521" width="38" style="360" customWidth="1"/>
    <col min="11522" max="11522" width="8.42578125" style="360" customWidth="1"/>
    <col min="11523" max="11523" width="15.7109375" style="360" customWidth="1"/>
    <col min="11524" max="11524" width="18.28515625" style="360" customWidth="1"/>
    <col min="11525" max="11525" width="17.85546875" style="360" customWidth="1"/>
    <col min="11526" max="11526" width="0" style="360" hidden="1" customWidth="1"/>
    <col min="11527" max="11527" width="33.28515625" style="360" customWidth="1"/>
    <col min="11528" max="11775" width="10.7109375" style="360"/>
    <col min="11776" max="11776" width="13.140625" style="360" customWidth="1"/>
    <col min="11777" max="11777" width="38" style="360" customWidth="1"/>
    <col min="11778" max="11778" width="8.42578125" style="360" customWidth="1"/>
    <col min="11779" max="11779" width="15.7109375" style="360" customWidth="1"/>
    <col min="11780" max="11780" width="18.28515625" style="360" customWidth="1"/>
    <col min="11781" max="11781" width="17.85546875" style="360" customWidth="1"/>
    <col min="11782" max="11782" width="0" style="360" hidden="1" customWidth="1"/>
    <col min="11783" max="11783" width="33.28515625" style="360" customWidth="1"/>
    <col min="11784" max="12031" width="10.7109375" style="360"/>
    <col min="12032" max="12032" width="13.140625" style="360" customWidth="1"/>
    <col min="12033" max="12033" width="38" style="360" customWidth="1"/>
    <col min="12034" max="12034" width="8.42578125" style="360" customWidth="1"/>
    <col min="12035" max="12035" width="15.7109375" style="360" customWidth="1"/>
    <col min="12036" max="12036" width="18.28515625" style="360" customWidth="1"/>
    <col min="12037" max="12037" width="17.85546875" style="360" customWidth="1"/>
    <col min="12038" max="12038" width="0" style="360" hidden="1" customWidth="1"/>
    <col min="12039" max="12039" width="33.28515625" style="360" customWidth="1"/>
    <col min="12040" max="12287" width="10.7109375" style="360"/>
    <col min="12288" max="12288" width="13.140625" style="360" customWidth="1"/>
    <col min="12289" max="12289" width="38" style="360" customWidth="1"/>
    <col min="12290" max="12290" width="8.42578125" style="360" customWidth="1"/>
    <col min="12291" max="12291" width="15.7109375" style="360" customWidth="1"/>
    <col min="12292" max="12292" width="18.28515625" style="360" customWidth="1"/>
    <col min="12293" max="12293" width="17.85546875" style="360" customWidth="1"/>
    <col min="12294" max="12294" width="0" style="360" hidden="1" customWidth="1"/>
    <col min="12295" max="12295" width="33.28515625" style="360" customWidth="1"/>
    <col min="12296" max="12543" width="10.7109375" style="360"/>
    <col min="12544" max="12544" width="13.140625" style="360" customWidth="1"/>
    <col min="12545" max="12545" width="38" style="360" customWidth="1"/>
    <col min="12546" max="12546" width="8.42578125" style="360" customWidth="1"/>
    <col min="12547" max="12547" width="15.7109375" style="360" customWidth="1"/>
    <col min="12548" max="12548" width="18.28515625" style="360" customWidth="1"/>
    <col min="12549" max="12549" width="17.85546875" style="360" customWidth="1"/>
    <col min="12550" max="12550" width="0" style="360" hidden="1" customWidth="1"/>
    <col min="12551" max="12551" width="33.28515625" style="360" customWidth="1"/>
    <col min="12552" max="12799" width="10.7109375" style="360"/>
    <col min="12800" max="12800" width="13.140625" style="360" customWidth="1"/>
    <col min="12801" max="12801" width="38" style="360" customWidth="1"/>
    <col min="12802" max="12802" width="8.42578125" style="360" customWidth="1"/>
    <col min="12803" max="12803" width="15.7109375" style="360" customWidth="1"/>
    <col min="12804" max="12804" width="18.28515625" style="360" customWidth="1"/>
    <col min="12805" max="12805" width="17.85546875" style="360" customWidth="1"/>
    <col min="12806" max="12806" width="0" style="360" hidden="1" customWidth="1"/>
    <col min="12807" max="12807" width="33.28515625" style="360" customWidth="1"/>
    <col min="12808" max="13055" width="10.7109375" style="360"/>
    <col min="13056" max="13056" width="13.140625" style="360" customWidth="1"/>
    <col min="13057" max="13057" width="38" style="360" customWidth="1"/>
    <col min="13058" max="13058" width="8.42578125" style="360" customWidth="1"/>
    <col min="13059" max="13059" width="15.7109375" style="360" customWidth="1"/>
    <col min="13060" max="13060" width="18.28515625" style="360" customWidth="1"/>
    <col min="13061" max="13061" width="17.85546875" style="360" customWidth="1"/>
    <col min="13062" max="13062" width="0" style="360" hidden="1" customWidth="1"/>
    <col min="13063" max="13063" width="33.28515625" style="360" customWidth="1"/>
    <col min="13064" max="13311" width="10.7109375" style="360"/>
    <col min="13312" max="13312" width="13.140625" style="360" customWidth="1"/>
    <col min="13313" max="13313" width="38" style="360" customWidth="1"/>
    <col min="13314" max="13314" width="8.42578125" style="360" customWidth="1"/>
    <col min="13315" max="13315" width="15.7109375" style="360" customWidth="1"/>
    <col min="13316" max="13316" width="18.28515625" style="360" customWidth="1"/>
    <col min="13317" max="13317" width="17.85546875" style="360" customWidth="1"/>
    <col min="13318" max="13318" width="0" style="360" hidden="1" customWidth="1"/>
    <col min="13319" max="13319" width="33.28515625" style="360" customWidth="1"/>
    <col min="13320" max="13567" width="10.7109375" style="360"/>
    <col min="13568" max="13568" width="13.140625" style="360" customWidth="1"/>
    <col min="13569" max="13569" width="38" style="360" customWidth="1"/>
    <col min="13570" max="13570" width="8.42578125" style="360" customWidth="1"/>
    <col min="13571" max="13571" width="15.7109375" style="360" customWidth="1"/>
    <col min="13572" max="13572" width="18.28515625" style="360" customWidth="1"/>
    <col min="13573" max="13573" width="17.85546875" style="360" customWidth="1"/>
    <col min="13574" max="13574" width="0" style="360" hidden="1" customWidth="1"/>
    <col min="13575" max="13575" width="33.28515625" style="360" customWidth="1"/>
    <col min="13576" max="13823" width="10.7109375" style="360"/>
    <col min="13824" max="13824" width="13.140625" style="360" customWidth="1"/>
    <col min="13825" max="13825" width="38" style="360" customWidth="1"/>
    <col min="13826" max="13826" width="8.42578125" style="360" customWidth="1"/>
    <col min="13827" max="13827" width="15.7109375" style="360" customWidth="1"/>
    <col min="13828" max="13828" width="18.28515625" style="360" customWidth="1"/>
    <col min="13829" max="13829" width="17.85546875" style="360" customWidth="1"/>
    <col min="13830" max="13830" width="0" style="360" hidden="1" customWidth="1"/>
    <col min="13831" max="13831" width="33.28515625" style="360" customWidth="1"/>
    <col min="13832" max="14079" width="10.7109375" style="360"/>
    <col min="14080" max="14080" width="13.140625" style="360" customWidth="1"/>
    <col min="14081" max="14081" width="38" style="360" customWidth="1"/>
    <col min="14082" max="14082" width="8.42578125" style="360" customWidth="1"/>
    <col min="14083" max="14083" width="15.7109375" style="360" customWidth="1"/>
    <col min="14084" max="14084" width="18.28515625" style="360" customWidth="1"/>
    <col min="14085" max="14085" width="17.85546875" style="360" customWidth="1"/>
    <col min="14086" max="14086" width="0" style="360" hidden="1" customWidth="1"/>
    <col min="14087" max="14087" width="33.28515625" style="360" customWidth="1"/>
    <col min="14088" max="14335" width="10.7109375" style="360"/>
    <col min="14336" max="14336" width="13.140625" style="360" customWidth="1"/>
    <col min="14337" max="14337" width="38" style="360" customWidth="1"/>
    <col min="14338" max="14338" width="8.42578125" style="360" customWidth="1"/>
    <col min="14339" max="14339" width="15.7109375" style="360" customWidth="1"/>
    <col min="14340" max="14340" width="18.28515625" style="360" customWidth="1"/>
    <col min="14341" max="14341" width="17.85546875" style="360" customWidth="1"/>
    <col min="14342" max="14342" width="0" style="360" hidden="1" customWidth="1"/>
    <col min="14343" max="14343" width="33.28515625" style="360" customWidth="1"/>
    <col min="14344" max="14591" width="10.7109375" style="360"/>
    <col min="14592" max="14592" width="13.140625" style="360" customWidth="1"/>
    <col min="14593" max="14593" width="38" style="360" customWidth="1"/>
    <col min="14594" max="14594" width="8.42578125" style="360" customWidth="1"/>
    <col min="14595" max="14595" width="15.7109375" style="360" customWidth="1"/>
    <col min="14596" max="14596" width="18.28515625" style="360" customWidth="1"/>
    <col min="14597" max="14597" width="17.85546875" style="360" customWidth="1"/>
    <col min="14598" max="14598" width="0" style="360" hidden="1" customWidth="1"/>
    <col min="14599" max="14599" width="33.28515625" style="360" customWidth="1"/>
    <col min="14600" max="14847" width="10.7109375" style="360"/>
    <col min="14848" max="14848" width="13.140625" style="360" customWidth="1"/>
    <col min="14849" max="14849" width="38" style="360" customWidth="1"/>
    <col min="14850" max="14850" width="8.42578125" style="360" customWidth="1"/>
    <col min="14851" max="14851" width="15.7109375" style="360" customWidth="1"/>
    <col min="14852" max="14852" width="18.28515625" style="360" customWidth="1"/>
    <col min="14853" max="14853" width="17.85546875" style="360" customWidth="1"/>
    <col min="14854" max="14854" width="0" style="360" hidden="1" customWidth="1"/>
    <col min="14855" max="14855" width="33.28515625" style="360" customWidth="1"/>
    <col min="14856" max="15103" width="10.7109375" style="360"/>
    <col min="15104" max="15104" width="13.140625" style="360" customWidth="1"/>
    <col min="15105" max="15105" width="38" style="360" customWidth="1"/>
    <col min="15106" max="15106" width="8.42578125" style="360" customWidth="1"/>
    <col min="15107" max="15107" width="15.7109375" style="360" customWidth="1"/>
    <col min="15108" max="15108" width="18.28515625" style="360" customWidth="1"/>
    <col min="15109" max="15109" width="17.85546875" style="360" customWidth="1"/>
    <col min="15110" max="15110" width="0" style="360" hidden="1" customWidth="1"/>
    <col min="15111" max="15111" width="33.28515625" style="360" customWidth="1"/>
    <col min="15112" max="15359" width="10.7109375" style="360"/>
    <col min="15360" max="15360" width="13.140625" style="360" customWidth="1"/>
    <col min="15361" max="15361" width="38" style="360" customWidth="1"/>
    <col min="15362" max="15362" width="8.42578125" style="360" customWidth="1"/>
    <col min="15363" max="15363" width="15.7109375" style="360" customWidth="1"/>
    <col min="15364" max="15364" width="18.28515625" style="360" customWidth="1"/>
    <col min="15365" max="15365" width="17.85546875" style="360" customWidth="1"/>
    <col min="15366" max="15366" width="0" style="360" hidden="1" customWidth="1"/>
    <col min="15367" max="15367" width="33.28515625" style="360" customWidth="1"/>
    <col min="15368" max="15615" width="10.7109375" style="360"/>
    <col min="15616" max="15616" width="13.140625" style="360" customWidth="1"/>
    <col min="15617" max="15617" width="38" style="360" customWidth="1"/>
    <col min="15618" max="15618" width="8.42578125" style="360" customWidth="1"/>
    <col min="15619" max="15619" width="15.7109375" style="360" customWidth="1"/>
    <col min="15620" max="15620" width="18.28515625" style="360" customWidth="1"/>
    <col min="15621" max="15621" width="17.85546875" style="360" customWidth="1"/>
    <col min="15622" max="15622" width="0" style="360" hidden="1" customWidth="1"/>
    <col min="15623" max="15623" width="33.28515625" style="360" customWidth="1"/>
    <col min="15624" max="15871" width="10.7109375" style="360"/>
    <col min="15872" max="15872" width="13.140625" style="360" customWidth="1"/>
    <col min="15873" max="15873" width="38" style="360" customWidth="1"/>
    <col min="15874" max="15874" width="8.42578125" style="360" customWidth="1"/>
    <col min="15875" max="15875" width="15.7109375" style="360" customWidth="1"/>
    <col min="15876" max="15876" width="18.28515625" style="360" customWidth="1"/>
    <col min="15877" max="15877" width="17.85546875" style="360" customWidth="1"/>
    <col min="15878" max="15878" width="0" style="360" hidden="1" customWidth="1"/>
    <col min="15879" max="15879" width="33.28515625" style="360" customWidth="1"/>
    <col min="15880" max="16127" width="10.7109375" style="360"/>
    <col min="16128" max="16128" width="13.140625" style="360" customWidth="1"/>
    <col min="16129" max="16129" width="38" style="360" customWidth="1"/>
    <col min="16130" max="16130" width="8.42578125" style="360" customWidth="1"/>
    <col min="16131" max="16131" width="15.7109375" style="360" customWidth="1"/>
    <col min="16132" max="16132" width="18.28515625" style="360" customWidth="1"/>
    <col min="16133" max="16133" width="17.85546875" style="360" customWidth="1"/>
    <col min="16134" max="16134" width="0" style="360" hidden="1" customWidth="1"/>
    <col min="16135" max="16135" width="33.28515625" style="360" customWidth="1"/>
    <col min="16136" max="16384" width="10.7109375" style="360"/>
  </cols>
  <sheetData>
    <row r="1" spans="1:9" ht="15" customHeight="1" x14ac:dyDescent="0.25">
      <c r="A1" s="547" t="s">
        <v>1449</v>
      </c>
      <c r="B1" s="356"/>
      <c r="C1" s="357"/>
      <c r="D1" s="358"/>
      <c r="E1" s="358"/>
      <c r="F1" s="359"/>
      <c r="G1" s="359"/>
    </row>
    <row r="2" spans="1:9" ht="15" customHeight="1" x14ac:dyDescent="0.3">
      <c r="A2" s="361"/>
      <c r="B2" s="356"/>
      <c r="C2" s="357"/>
      <c r="D2" s="358"/>
      <c r="E2" s="358"/>
      <c r="F2" s="359"/>
      <c r="G2" s="359"/>
    </row>
    <row r="3" spans="1:9" ht="15" customHeight="1" x14ac:dyDescent="0.3">
      <c r="A3" s="359"/>
      <c r="B3" s="362"/>
      <c r="C3" s="357"/>
      <c r="D3" s="358"/>
      <c r="E3" s="358"/>
      <c r="F3" s="359"/>
      <c r="G3" s="359"/>
    </row>
    <row r="4" spans="1:9" ht="15" customHeight="1" x14ac:dyDescent="0.3">
      <c r="A4" s="1445" t="s">
        <v>1178</v>
      </c>
      <c r="B4" s="1445"/>
      <c r="C4" s="1445"/>
      <c r="D4" s="1445"/>
      <c r="E4" s="1445"/>
      <c r="F4" s="1445"/>
      <c r="G4" s="1445"/>
    </row>
    <row r="5" spans="1:9" ht="15" customHeight="1" x14ac:dyDescent="0.3">
      <c r="A5" s="1445" t="s">
        <v>1194</v>
      </c>
      <c r="B5" s="1445"/>
      <c r="C5" s="1445"/>
      <c r="D5" s="1445"/>
      <c r="E5" s="1445"/>
      <c r="F5" s="1445"/>
      <c r="G5" s="1445"/>
    </row>
    <row r="6" spans="1:9" ht="15" customHeight="1" x14ac:dyDescent="0.25">
      <c r="A6" s="1453" t="s">
        <v>1509</v>
      </c>
      <c r="B6" s="1453"/>
      <c r="C6" s="1453"/>
      <c r="D6" s="1453"/>
      <c r="E6" s="1453"/>
      <c r="F6" s="1453"/>
      <c r="G6" s="1453"/>
    </row>
    <row r="7" spans="1:9" ht="15" customHeight="1" x14ac:dyDescent="0.3">
      <c r="A7" s="359"/>
      <c r="B7" s="362"/>
      <c r="C7" s="357"/>
      <c r="D7" s="358"/>
      <c r="E7" s="358"/>
      <c r="F7" s="359"/>
      <c r="G7" s="359"/>
    </row>
    <row r="8" spans="1:9" ht="25.5" x14ac:dyDescent="0.25">
      <c r="A8" s="1446" t="s">
        <v>1179</v>
      </c>
      <c r="B8" s="1446" t="s">
        <v>1180</v>
      </c>
      <c r="C8" s="1446" t="s">
        <v>1181</v>
      </c>
      <c r="D8" s="1448" t="s">
        <v>1182</v>
      </c>
      <c r="E8" s="602" t="s">
        <v>1183</v>
      </c>
      <c r="F8" s="1446" t="s">
        <v>1184</v>
      </c>
      <c r="G8" s="1446" t="s">
        <v>1185</v>
      </c>
      <c r="I8" s="363"/>
    </row>
    <row r="9" spans="1:9" ht="15" customHeight="1" x14ac:dyDescent="0.25">
      <c r="A9" s="1450"/>
      <c r="B9" s="1450"/>
      <c r="C9" s="1450"/>
      <c r="D9" s="1451"/>
      <c r="E9" s="603" t="s">
        <v>1186</v>
      </c>
      <c r="F9" s="1450"/>
      <c r="G9" s="1450"/>
      <c r="I9" s="363"/>
    </row>
    <row r="10" spans="1:9" ht="15" customHeight="1" x14ac:dyDescent="0.3">
      <c r="A10" s="578">
        <v>1</v>
      </c>
      <c r="B10" s="578">
        <v>2</v>
      </c>
      <c r="C10" s="578">
        <v>3</v>
      </c>
      <c r="D10" s="579">
        <v>4</v>
      </c>
      <c r="E10" s="579">
        <v>5</v>
      </c>
      <c r="F10" s="578">
        <v>7</v>
      </c>
      <c r="G10" s="578">
        <v>6</v>
      </c>
    </row>
    <row r="11" spans="1:9" ht="105.75" customHeight="1" x14ac:dyDescent="0.3">
      <c r="A11" s="366">
        <v>1</v>
      </c>
      <c r="B11" s="367" t="s">
        <v>1510</v>
      </c>
      <c r="C11" s="368">
        <v>1</v>
      </c>
      <c r="D11" s="412">
        <v>86600</v>
      </c>
      <c r="E11" s="369">
        <f t="shared" ref="E11" si="0">C11*D11</f>
        <v>86600</v>
      </c>
      <c r="F11" s="367"/>
      <c r="G11" s="608" t="s">
        <v>1511</v>
      </c>
    </row>
    <row r="12" spans="1:9" ht="15" customHeight="1" x14ac:dyDescent="0.3">
      <c r="A12" s="1444" t="s">
        <v>545</v>
      </c>
      <c r="B12" s="1444"/>
      <c r="C12" s="1444"/>
      <c r="D12" s="1444"/>
      <c r="E12" s="370">
        <f>SUM(E11:E11)</f>
        <v>86600</v>
      </c>
      <c r="F12" s="1444" t="s">
        <v>1188</v>
      </c>
      <c r="G12" s="1444"/>
    </row>
    <row r="13" spans="1:9" ht="15" customHeight="1" x14ac:dyDescent="0.3">
      <c r="A13" s="359"/>
      <c r="B13" s="371"/>
      <c r="C13" s="372"/>
      <c r="D13" s="358"/>
      <c r="E13" s="358"/>
      <c r="F13" s="359"/>
      <c r="G13" s="359"/>
    </row>
    <row r="14" spans="1:9" ht="15" customHeight="1" x14ac:dyDescent="0.25">
      <c r="A14" s="359"/>
      <c r="B14" s="362"/>
      <c r="C14" s="357"/>
      <c r="D14" s="358"/>
      <c r="E14" s="358"/>
      <c r="F14" s="359"/>
      <c r="G14" s="44" t="s">
        <v>82</v>
      </c>
    </row>
    <row r="15" spans="1:9" ht="15" customHeight="1" x14ac:dyDescent="0.25">
      <c r="A15" s="359"/>
      <c r="B15" s="371"/>
      <c r="C15" s="357"/>
      <c r="D15" s="358"/>
      <c r="E15" s="358"/>
      <c r="F15" s="359"/>
      <c r="G15" s="45" t="s">
        <v>1448</v>
      </c>
    </row>
    <row r="16" spans="1:9" ht="15" customHeight="1" x14ac:dyDescent="0.25">
      <c r="A16" s="359"/>
      <c r="B16" s="362"/>
      <c r="C16" s="357"/>
      <c r="D16" s="358"/>
      <c r="E16" s="358"/>
      <c r="F16" s="359"/>
      <c r="G16" s="44" t="s">
        <v>1446</v>
      </c>
    </row>
    <row r="17" spans="1:7" ht="15" customHeight="1" x14ac:dyDescent="0.25">
      <c r="A17" s="359"/>
      <c r="B17" s="371"/>
      <c r="C17" s="357"/>
      <c r="D17" s="358"/>
      <c r="E17" s="358"/>
      <c r="F17" s="359"/>
      <c r="G17" s="45" t="s">
        <v>83</v>
      </c>
    </row>
    <row r="18" spans="1:7" ht="15" customHeight="1" x14ac:dyDescent="0.25">
      <c r="A18" s="359"/>
      <c r="B18" s="362"/>
      <c r="C18" s="357"/>
      <c r="D18" s="358"/>
      <c r="E18" s="358"/>
      <c r="F18" s="359"/>
      <c r="G18" s="45" t="s">
        <v>1447</v>
      </c>
    </row>
    <row r="19" spans="1:7" ht="15" customHeight="1" x14ac:dyDescent="0.3">
      <c r="A19" s="359"/>
      <c r="B19" s="371"/>
      <c r="C19" s="357"/>
      <c r="D19" s="358"/>
      <c r="E19" s="358"/>
      <c r="F19" s="359"/>
      <c r="G19" s="359"/>
    </row>
    <row r="20" spans="1:7" ht="15" customHeight="1" x14ac:dyDescent="0.3"/>
    <row r="21" spans="1:7" ht="15" customHeight="1" x14ac:dyDescent="0.3">
      <c r="A21" s="373"/>
      <c r="C21" s="373"/>
      <c r="D21" s="523"/>
      <c r="E21" s="523"/>
      <c r="F21" s="373"/>
      <c r="G21" s="373"/>
    </row>
    <row r="22" spans="1:7" ht="15" customHeight="1" x14ac:dyDescent="0.3">
      <c r="A22" s="373"/>
      <c r="C22" s="373"/>
      <c r="D22" s="523"/>
      <c r="E22" s="523"/>
      <c r="F22" s="373"/>
      <c r="G22" s="373"/>
    </row>
    <row r="23" spans="1:7" ht="15" customHeight="1" x14ac:dyDescent="0.3">
      <c r="A23" s="524"/>
      <c r="C23" s="373"/>
      <c r="D23" s="523"/>
      <c r="E23" s="523"/>
      <c r="F23" s="373"/>
      <c r="G23" s="373"/>
    </row>
    <row r="24" spans="1:7" ht="15" customHeight="1" x14ac:dyDescent="0.3">
      <c r="A24" s="525"/>
      <c r="C24" s="373"/>
      <c r="D24" s="523"/>
      <c r="E24" s="523"/>
      <c r="F24" s="373"/>
      <c r="G24" s="389"/>
    </row>
    <row r="25" spans="1:7" ht="15" customHeight="1" x14ac:dyDescent="0.3">
      <c r="A25" s="527"/>
      <c r="C25" s="373"/>
      <c r="D25" s="523"/>
      <c r="E25" s="523"/>
      <c r="F25" s="373"/>
      <c r="G25" s="373"/>
    </row>
    <row r="26" spans="1:7" ht="15" customHeight="1" x14ac:dyDescent="0.3">
      <c r="A26" s="525"/>
      <c r="C26" s="373"/>
      <c r="D26" s="523"/>
      <c r="E26" s="523"/>
      <c r="F26" s="373"/>
      <c r="G26" s="373"/>
    </row>
    <row r="27" spans="1:7" ht="15" customHeight="1" x14ac:dyDescent="0.25">
      <c r="A27" s="525"/>
      <c r="C27" s="373"/>
      <c r="D27" s="523"/>
      <c r="E27" s="523"/>
      <c r="F27" s="373"/>
      <c r="G27" s="389"/>
    </row>
    <row r="28" spans="1:7" ht="15" customHeight="1" x14ac:dyDescent="0.25">
      <c r="A28" s="525"/>
      <c r="C28" s="373"/>
      <c r="D28" s="523"/>
      <c r="E28" s="523"/>
      <c r="F28" s="373"/>
      <c r="G28" s="373"/>
    </row>
    <row r="29" spans="1:7" ht="15" customHeight="1" x14ac:dyDescent="0.25">
      <c r="A29" s="525"/>
      <c r="C29" s="373"/>
      <c r="D29" s="523"/>
      <c r="E29" s="523"/>
      <c r="F29" s="373"/>
      <c r="G29" s="373"/>
    </row>
    <row r="30" spans="1:7" ht="15" customHeight="1" x14ac:dyDescent="0.25">
      <c r="A30" s="525"/>
      <c r="C30" s="373"/>
      <c r="D30" s="523"/>
      <c r="E30" s="523"/>
      <c r="F30" s="373"/>
      <c r="G30" s="389"/>
    </row>
    <row r="31" spans="1:7" ht="15" customHeight="1" x14ac:dyDescent="0.25">
      <c r="A31" s="525"/>
      <c r="C31" s="373"/>
      <c r="D31" s="523"/>
      <c r="E31" s="523"/>
      <c r="F31" s="373"/>
      <c r="G31" s="373"/>
    </row>
    <row r="32" spans="1:7" ht="15" customHeight="1" x14ac:dyDescent="0.25">
      <c r="A32" s="525"/>
      <c r="C32" s="373"/>
      <c r="D32" s="523"/>
      <c r="E32" s="523"/>
      <c r="F32" s="373"/>
      <c r="G32" s="389"/>
    </row>
    <row r="33" spans="1:15" ht="15" customHeight="1" x14ac:dyDescent="0.25">
      <c r="A33" s="525"/>
      <c r="C33" s="373"/>
      <c r="D33" s="523"/>
      <c r="E33" s="523"/>
      <c r="F33" s="373"/>
      <c r="G33" s="373"/>
    </row>
    <row r="34" spans="1:15" ht="15" customHeight="1" x14ac:dyDescent="0.25">
      <c r="A34" s="525"/>
      <c r="C34" s="373"/>
      <c r="D34" s="523"/>
      <c r="E34" s="523"/>
      <c r="F34" s="373"/>
      <c r="G34" s="389"/>
    </row>
    <row r="35" spans="1:15" ht="15" customHeight="1" x14ac:dyDescent="0.25">
      <c r="A35" s="525"/>
      <c r="C35" s="373"/>
      <c r="D35" s="523"/>
      <c r="E35" s="523"/>
      <c r="F35" s="373"/>
      <c r="G35" s="373"/>
    </row>
    <row r="36" spans="1:15" ht="15" customHeight="1" x14ac:dyDescent="0.25">
      <c r="A36" s="525"/>
      <c r="C36" s="373"/>
      <c r="D36" s="523"/>
      <c r="E36" s="523"/>
      <c r="F36" s="373"/>
      <c r="G36" s="373"/>
    </row>
    <row r="37" spans="1:15" ht="15" customHeight="1" x14ac:dyDescent="0.25">
      <c r="A37" s="525"/>
      <c r="C37" s="373"/>
      <c r="D37" s="523"/>
      <c r="E37" s="523"/>
      <c r="F37" s="373"/>
      <c r="G37" s="389"/>
    </row>
    <row r="38" spans="1:15" ht="15" customHeight="1" x14ac:dyDescent="0.25">
      <c r="A38" s="525"/>
      <c r="C38" s="373"/>
      <c r="D38" s="523"/>
      <c r="E38" s="523"/>
      <c r="F38" s="373"/>
      <c r="G38" s="373"/>
      <c r="H38" s="374"/>
      <c r="I38" s="374"/>
      <c r="J38" s="374"/>
      <c r="K38" s="374"/>
      <c r="L38" s="374"/>
      <c r="M38" s="374"/>
      <c r="N38" s="374"/>
      <c r="O38" s="374"/>
    </row>
    <row r="39" spans="1:15" ht="15" customHeight="1" x14ac:dyDescent="0.25">
      <c r="A39" s="525"/>
      <c r="C39" s="373"/>
      <c r="D39" s="523"/>
      <c r="E39" s="523"/>
      <c r="F39" s="373"/>
      <c r="G39" s="389"/>
      <c r="H39" s="374"/>
      <c r="I39" s="374"/>
      <c r="J39" s="374"/>
      <c r="K39" s="374"/>
      <c r="L39" s="374"/>
      <c r="M39" s="374"/>
      <c r="N39" s="374"/>
      <c r="O39" s="374"/>
    </row>
    <row r="40" spans="1:15" ht="15" customHeight="1" x14ac:dyDescent="0.25">
      <c r="A40" s="525"/>
      <c r="C40" s="373"/>
      <c r="D40" s="523"/>
      <c r="E40" s="523"/>
      <c r="F40" s="373"/>
      <c r="G40" s="373"/>
      <c r="H40" s="374"/>
      <c r="I40" s="374"/>
      <c r="J40" s="374"/>
      <c r="K40" s="374"/>
      <c r="L40" s="374"/>
      <c r="M40" s="374"/>
      <c r="N40" s="374"/>
      <c r="O40" s="374"/>
    </row>
    <row r="41" spans="1:15" ht="15" customHeight="1" x14ac:dyDescent="0.25">
      <c r="A41" s="525"/>
      <c r="C41" s="373"/>
      <c r="D41" s="523"/>
      <c r="E41" s="523"/>
      <c r="F41" s="373"/>
      <c r="G41" s="373"/>
      <c r="H41" s="374"/>
      <c r="I41" s="374"/>
      <c r="J41" s="374"/>
      <c r="K41" s="374"/>
      <c r="L41" s="374"/>
      <c r="M41" s="374"/>
      <c r="N41" s="374"/>
      <c r="O41" s="374"/>
    </row>
    <row r="42" spans="1:15" ht="15" customHeight="1" x14ac:dyDescent="0.25">
      <c r="A42" s="525"/>
      <c r="C42" s="373"/>
      <c r="D42" s="523"/>
      <c r="E42" s="523"/>
      <c r="F42" s="373"/>
      <c r="G42" s="389"/>
      <c r="H42" s="374"/>
      <c r="I42" s="374"/>
      <c r="J42" s="374"/>
      <c r="K42" s="374"/>
      <c r="L42" s="374"/>
      <c r="M42" s="374"/>
      <c r="N42" s="374"/>
      <c r="O42" s="374"/>
    </row>
    <row r="43" spans="1:15" ht="15" customHeight="1" x14ac:dyDescent="0.25">
      <c r="A43" s="525"/>
      <c r="B43" s="526"/>
      <c r="C43" s="373"/>
      <c r="D43" s="523"/>
      <c r="E43" s="523"/>
      <c r="F43" s="373"/>
      <c r="G43" s="389"/>
      <c r="H43" s="374"/>
      <c r="I43" s="374"/>
      <c r="J43" s="374"/>
      <c r="K43" s="374"/>
      <c r="L43" s="374"/>
      <c r="M43" s="374"/>
      <c r="N43" s="374"/>
      <c r="O43" s="374"/>
    </row>
    <row r="44" spans="1:15" ht="15" customHeight="1" x14ac:dyDescent="0.25">
      <c r="A44" s="525"/>
      <c r="C44" s="373"/>
      <c r="D44" s="523"/>
      <c r="E44" s="523"/>
      <c r="F44" s="373"/>
      <c r="G44" s="389"/>
      <c r="H44" s="374"/>
      <c r="I44" s="374"/>
      <c r="J44" s="374"/>
      <c r="K44" s="374"/>
      <c r="L44" s="374"/>
      <c r="M44" s="374"/>
      <c r="N44" s="374"/>
      <c r="O44" s="374"/>
    </row>
    <row r="45" spans="1:15" ht="15" customHeight="1" x14ac:dyDescent="0.25">
      <c r="A45" s="525"/>
      <c r="C45" s="373"/>
      <c r="D45" s="523"/>
      <c r="E45" s="523"/>
      <c r="F45" s="373"/>
      <c r="G45" s="389"/>
      <c r="H45" s="374"/>
      <c r="I45" s="374"/>
      <c r="J45" s="374"/>
      <c r="K45" s="374"/>
      <c r="L45" s="374"/>
      <c r="M45" s="374"/>
      <c r="N45" s="374"/>
      <c r="O45" s="374"/>
    </row>
    <row r="46" spans="1:15" ht="15" customHeight="1" x14ac:dyDescent="0.25">
      <c r="A46" s="525"/>
      <c r="C46" s="373"/>
      <c r="D46" s="523"/>
      <c r="E46" s="523"/>
      <c r="F46" s="373"/>
      <c r="G46" s="389"/>
      <c r="H46" s="374"/>
      <c r="I46" s="374"/>
      <c r="J46" s="374"/>
      <c r="K46" s="374"/>
      <c r="L46" s="374"/>
      <c r="M46" s="374"/>
      <c r="N46" s="374"/>
      <c r="O46" s="374"/>
    </row>
    <row r="47" spans="1:15" ht="15" customHeight="1" x14ac:dyDescent="0.25">
      <c r="A47" s="525"/>
      <c r="C47" s="373"/>
      <c r="D47" s="523"/>
      <c r="E47" s="523"/>
      <c r="F47" s="373"/>
      <c r="G47" s="389"/>
      <c r="H47" s="374"/>
      <c r="I47" s="374"/>
      <c r="J47" s="374"/>
      <c r="K47" s="374"/>
      <c r="L47" s="374"/>
      <c r="M47" s="374"/>
      <c r="N47" s="374"/>
      <c r="O47" s="374"/>
    </row>
    <row r="48" spans="1:15" ht="15" customHeight="1" x14ac:dyDescent="0.25">
      <c r="A48" s="525"/>
      <c r="C48" s="373"/>
      <c r="D48" s="523"/>
      <c r="E48" s="523"/>
      <c r="F48" s="373"/>
      <c r="G48" s="389"/>
      <c r="H48" s="374"/>
      <c r="I48" s="374"/>
      <c r="J48" s="374"/>
      <c r="K48" s="374"/>
      <c r="L48" s="374"/>
      <c r="M48" s="374"/>
      <c r="N48" s="374"/>
      <c r="O48" s="374"/>
    </row>
    <row r="49" spans="1:15" ht="15" customHeight="1" x14ac:dyDescent="0.25">
      <c r="A49" s="525"/>
      <c r="C49" s="373"/>
      <c r="D49" s="523"/>
      <c r="E49" s="523"/>
      <c r="F49" s="373"/>
      <c r="G49" s="389"/>
      <c r="H49" s="374"/>
      <c r="I49" s="374"/>
      <c r="J49" s="374"/>
      <c r="K49" s="374"/>
      <c r="L49" s="374"/>
      <c r="M49" s="374"/>
      <c r="N49" s="374"/>
      <c r="O49" s="374"/>
    </row>
    <row r="50" spans="1:15" ht="15" customHeight="1" x14ac:dyDescent="0.25">
      <c r="A50" s="376"/>
      <c r="B50" s="360"/>
      <c r="D50" s="380"/>
      <c r="E50" s="380"/>
      <c r="F50" s="374"/>
      <c r="G50" s="374"/>
      <c r="H50" s="374"/>
      <c r="I50" s="374"/>
      <c r="J50" s="374"/>
      <c r="K50" s="374"/>
      <c r="L50" s="374"/>
      <c r="M50" s="374"/>
      <c r="N50" s="374"/>
      <c r="O50" s="374"/>
    </row>
    <row r="51" spans="1:15" ht="15" customHeight="1" x14ac:dyDescent="0.25">
      <c r="A51" s="376"/>
      <c r="B51" s="360"/>
      <c r="D51" s="380"/>
      <c r="E51" s="380"/>
      <c r="F51" s="374"/>
      <c r="G51" s="374"/>
      <c r="H51" s="374"/>
      <c r="I51" s="374"/>
      <c r="J51" s="374"/>
      <c r="K51" s="374"/>
      <c r="L51" s="374"/>
      <c r="M51" s="374"/>
      <c r="N51" s="374"/>
      <c r="O51" s="374"/>
    </row>
    <row r="52" spans="1:15" ht="15" customHeight="1" x14ac:dyDescent="0.25">
      <c r="B52" s="360"/>
      <c r="D52" s="380"/>
      <c r="E52" s="380"/>
      <c r="F52" s="374"/>
      <c r="G52" s="374"/>
      <c r="H52" s="374"/>
      <c r="I52" s="374"/>
      <c r="J52" s="374"/>
      <c r="K52" s="374"/>
      <c r="L52" s="374"/>
      <c r="M52" s="374"/>
      <c r="N52" s="374"/>
      <c r="O52" s="374"/>
    </row>
    <row r="53" spans="1:15" ht="15" customHeight="1" x14ac:dyDescent="0.25">
      <c r="B53" s="360"/>
      <c r="D53" s="380"/>
      <c r="E53" s="380"/>
      <c r="F53" s="374"/>
      <c r="G53" s="374"/>
      <c r="H53" s="374"/>
      <c r="I53" s="374"/>
      <c r="J53" s="374"/>
      <c r="K53" s="374"/>
      <c r="L53" s="374"/>
      <c r="M53" s="374"/>
      <c r="N53" s="374"/>
      <c r="O53" s="374"/>
    </row>
    <row r="54" spans="1:15" ht="15" customHeight="1" x14ac:dyDescent="0.25">
      <c r="A54" s="376"/>
      <c r="B54" s="360"/>
      <c r="D54" s="380"/>
      <c r="E54" s="380"/>
      <c r="F54" s="374"/>
      <c r="G54" s="374"/>
      <c r="H54" s="374"/>
      <c r="I54" s="374"/>
      <c r="J54" s="374"/>
      <c r="K54" s="374"/>
      <c r="L54" s="374"/>
      <c r="M54" s="374"/>
      <c r="N54" s="374"/>
      <c r="O54" s="374"/>
    </row>
    <row r="55" spans="1:15" ht="15" customHeight="1" x14ac:dyDescent="0.25">
      <c r="A55" s="376"/>
      <c r="B55" s="360"/>
      <c r="D55" s="380"/>
      <c r="E55" s="380"/>
      <c r="F55" s="374"/>
      <c r="G55" s="374"/>
      <c r="H55" s="374"/>
      <c r="I55" s="374"/>
      <c r="J55" s="374"/>
      <c r="K55" s="374"/>
      <c r="L55" s="374"/>
      <c r="M55" s="374"/>
      <c r="N55" s="374"/>
      <c r="O55" s="374"/>
    </row>
    <row r="56" spans="1:15" ht="15" customHeight="1" x14ac:dyDescent="0.25">
      <c r="A56" s="376"/>
      <c r="B56" s="360"/>
      <c r="D56" s="380"/>
      <c r="E56" s="380"/>
      <c r="F56" s="374"/>
      <c r="G56" s="374"/>
      <c r="H56" s="374"/>
      <c r="I56" s="374"/>
      <c r="J56" s="374"/>
      <c r="K56" s="374"/>
      <c r="L56" s="374"/>
      <c r="M56" s="374"/>
      <c r="N56" s="374"/>
      <c r="O56" s="374"/>
    </row>
    <row r="57" spans="1:15" ht="15" customHeight="1" x14ac:dyDescent="0.25">
      <c r="A57" s="376"/>
      <c r="B57" s="360"/>
      <c r="D57" s="380"/>
      <c r="E57" s="380"/>
      <c r="F57" s="374"/>
      <c r="G57" s="374"/>
      <c r="H57" s="374"/>
      <c r="I57" s="374"/>
      <c r="J57" s="374"/>
      <c r="K57" s="374"/>
      <c r="L57" s="374"/>
      <c r="M57" s="374"/>
      <c r="N57" s="374"/>
      <c r="O57" s="374"/>
    </row>
    <row r="58" spans="1:15" ht="15" customHeight="1" x14ac:dyDescent="0.25">
      <c r="A58" s="376"/>
      <c r="B58" s="360"/>
      <c r="D58" s="380"/>
      <c r="E58" s="380"/>
      <c r="F58" s="374"/>
      <c r="G58" s="374"/>
      <c r="H58" s="374"/>
      <c r="I58" s="374"/>
      <c r="J58" s="374"/>
      <c r="K58" s="374"/>
      <c r="L58" s="374"/>
      <c r="M58" s="374"/>
      <c r="N58" s="374"/>
      <c r="O58" s="374"/>
    </row>
    <row r="59" spans="1:15" ht="15" customHeight="1" x14ac:dyDescent="0.25">
      <c r="A59" s="376"/>
      <c r="B59" s="360"/>
      <c r="D59" s="380"/>
      <c r="E59" s="380"/>
      <c r="F59" s="374"/>
      <c r="G59" s="374"/>
      <c r="H59" s="374"/>
      <c r="I59" s="374"/>
      <c r="J59" s="374"/>
      <c r="K59" s="374"/>
      <c r="L59" s="374"/>
      <c r="M59" s="374"/>
      <c r="N59" s="374"/>
      <c r="O59" s="374"/>
    </row>
    <row r="60" spans="1:15" ht="15" customHeight="1" x14ac:dyDescent="0.25">
      <c r="A60" s="376"/>
      <c r="D60" s="380"/>
      <c r="E60" s="380"/>
      <c r="F60" s="374"/>
      <c r="G60" s="374"/>
      <c r="H60" s="374"/>
      <c r="I60" s="374"/>
      <c r="J60" s="374"/>
      <c r="K60" s="374"/>
      <c r="L60" s="374"/>
      <c r="M60" s="374"/>
      <c r="N60" s="374"/>
      <c r="O60" s="374"/>
    </row>
    <row r="61" spans="1:15" ht="15" customHeight="1" x14ac:dyDescent="0.25">
      <c r="A61" s="376"/>
      <c r="D61" s="380"/>
      <c r="E61" s="380"/>
      <c r="F61" s="374"/>
      <c r="G61" s="374"/>
      <c r="H61" s="374"/>
      <c r="I61" s="374"/>
      <c r="J61" s="374"/>
      <c r="K61" s="374"/>
      <c r="L61" s="374"/>
      <c r="M61" s="374"/>
      <c r="N61" s="374"/>
      <c r="O61" s="374"/>
    </row>
    <row r="62" spans="1:15" ht="15" customHeight="1" x14ac:dyDescent="0.25">
      <c r="A62" s="376"/>
      <c r="B62" s="360"/>
      <c r="D62" s="380"/>
      <c r="E62" s="380"/>
      <c r="F62" s="374"/>
      <c r="G62" s="374"/>
      <c r="H62" s="374"/>
      <c r="I62" s="374"/>
      <c r="J62" s="374"/>
      <c r="K62" s="374"/>
      <c r="L62" s="374"/>
      <c r="M62" s="374"/>
      <c r="N62" s="374"/>
      <c r="O62" s="374"/>
    </row>
    <row r="63" spans="1:15" ht="15" customHeight="1" x14ac:dyDescent="0.25">
      <c r="A63" s="376"/>
      <c r="D63" s="380"/>
      <c r="E63" s="380"/>
      <c r="F63" s="374"/>
      <c r="G63" s="374"/>
      <c r="H63" s="374"/>
      <c r="I63" s="374"/>
      <c r="J63" s="374"/>
      <c r="K63" s="374"/>
      <c r="L63" s="374"/>
      <c r="M63" s="374"/>
      <c r="N63" s="374"/>
      <c r="O63" s="374"/>
    </row>
    <row r="64" spans="1:15" ht="15" customHeight="1" x14ac:dyDescent="0.25">
      <c r="A64" s="376"/>
      <c r="D64" s="380"/>
      <c r="E64" s="380"/>
      <c r="F64" s="374"/>
      <c r="G64" s="374"/>
      <c r="H64" s="374"/>
      <c r="I64" s="374"/>
      <c r="J64" s="374"/>
      <c r="K64" s="374"/>
      <c r="L64" s="374"/>
      <c r="M64" s="374"/>
      <c r="N64" s="374"/>
      <c r="O64" s="374"/>
    </row>
    <row r="65" spans="1:15" ht="15" customHeight="1" x14ac:dyDescent="0.25">
      <c r="A65" s="376"/>
      <c r="D65" s="380"/>
      <c r="E65" s="380"/>
      <c r="F65" s="374"/>
      <c r="G65" s="374"/>
      <c r="H65" s="374"/>
      <c r="I65" s="374"/>
      <c r="J65" s="374"/>
      <c r="K65" s="374"/>
      <c r="L65" s="374"/>
      <c r="M65" s="374"/>
      <c r="N65" s="374"/>
      <c r="O65" s="374"/>
    </row>
    <row r="66" spans="1:15" ht="15" customHeight="1" x14ac:dyDescent="0.25">
      <c r="A66" s="376"/>
      <c r="D66" s="380"/>
      <c r="E66" s="380"/>
      <c r="F66" s="374"/>
      <c r="G66" s="374"/>
      <c r="H66" s="374"/>
      <c r="I66" s="374"/>
      <c r="J66" s="374"/>
      <c r="K66" s="374"/>
      <c r="L66" s="374"/>
      <c r="M66" s="374"/>
      <c r="N66" s="374"/>
      <c r="O66" s="374"/>
    </row>
    <row r="67" spans="1:15" ht="15" customHeight="1" x14ac:dyDescent="0.25">
      <c r="A67" s="376"/>
      <c r="D67" s="380"/>
      <c r="E67" s="380"/>
      <c r="F67" s="374"/>
      <c r="G67" s="374"/>
      <c r="H67" s="374"/>
      <c r="I67" s="374"/>
      <c r="J67" s="374"/>
      <c r="K67" s="374"/>
      <c r="L67" s="374"/>
      <c r="M67" s="374"/>
      <c r="N67" s="374"/>
      <c r="O67" s="374"/>
    </row>
    <row r="68" spans="1:15" ht="15" customHeight="1" x14ac:dyDescent="0.25">
      <c r="A68" s="376"/>
      <c r="D68" s="380"/>
      <c r="E68" s="380"/>
      <c r="F68" s="374"/>
      <c r="G68" s="374"/>
      <c r="H68" s="374"/>
      <c r="I68" s="374"/>
      <c r="J68" s="374"/>
      <c r="K68" s="374"/>
      <c r="L68" s="374"/>
      <c r="M68" s="374"/>
      <c r="N68" s="374"/>
      <c r="O68" s="374"/>
    </row>
    <row r="69" spans="1:15" ht="15" customHeight="1" x14ac:dyDescent="0.25">
      <c r="A69" s="376"/>
      <c r="D69" s="380"/>
      <c r="E69" s="380"/>
      <c r="F69" s="374"/>
      <c r="G69" s="374"/>
      <c r="H69" s="374"/>
      <c r="I69" s="374"/>
      <c r="J69" s="374"/>
      <c r="K69" s="374"/>
      <c r="L69" s="374"/>
      <c r="M69" s="374"/>
      <c r="N69" s="374"/>
      <c r="O69" s="374"/>
    </row>
    <row r="70" spans="1:15" ht="15" customHeight="1" x14ac:dyDescent="0.25">
      <c r="B70" s="360"/>
      <c r="D70" s="380"/>
      <c r="E70" s="380"/>
      <c r="F70" s="374"/>
      <c r="G70" s="374"/>
      <c r="H70" s="374"/>
      <c r="I70" s="374"/>
      <c r="J70" s="374"/>
      <c r="K70" s="374"/>
      <c r="L70" s="374"/>
      <c r="M70" s="374"/>
      <c r="N70" s="374"/>
      <c r="O70" s="374"/>
    </row>
    <row r="71" spans="1:15" ht="15" customHeight="1" x14ac:dyDescent="0.25">
      <c r="B71" s="360"/>
      <c r="D71" s="380"/>
      <c r="E71" s="380"/>
      <c r="F71" s="374"/>
      <c r="G71" s="374"/>
      <c r="H71" s="374"/>
      <c r="I71" s="374"/>
      <c r="J71" s="374"/>
      <c r="K71" s="374"/>
      <c r="L71" s="374"/>
      <c r="M71" s="374"/>
      <c r="N71" s="374"/>
      <c r="O71" s="374"/>
    </row>
    <row r="72" spans="1:15" ht="15" customHeight="1" x14ac:dyDescent="0.25">
      <c r="B72" s="360"/>
      <c r="D72" s="380"/>
      <c r="E72" s="380"/>
      <c r="F72" s="374"/>
      <c r="G72" s="374"/>
      <c r="H72" s="374"/>
      <c r="I72" s="374"/>
      <c r="J72" s="374"/>
      <c r="K72" s="374"/>
      <c r="L72" s="374"/>
      <c r="M72" s="374"/>
      <c r="N72" s="374"/>
      <c r="O72" s="374"/>
    </row>
    <row r="73" spans="1:15" ht="15" customHeight="1" x14ac:dyDescent="0.25">
      <c r="A73" s="376"/>
      <c r="B73" s="360"/>
      <c r="D73" s="380"/>
      <c r="E73" s="380"/>
      <c r="F73" s="374"/>
      <c r="G73" s="374"/>
      <c r="H73" s="374"/>
      <c r="I73" s="374"/>
      <c r="J73" s="374"/>
      <c r="K73" s="374"/>
      <c r="L73" s="374"/>
      <c r="M73" s="374"/>
      <c r="N73" s="374"/>
      <c r="O73" s="374"/>
    </row>
    <row r="74" spans="1:15" ht="15" customHeight="1" x14ac:dyDescent="0.25">
      <c r="A74" s="376"/>
      <c r="B74" s="360"/>
      <c r="D74" s="380"/>
      <c r="E74" s="380"/>
      <c r="F74" s="374"/>
      <c r="G74" s="374"/>
      <c r="H74" s="374"/>
      <c r="I74" s="374"/>
      <c r="J74" s="374"/>
      <c r="K74" s="374"/>
      <c r="L74" s="374"/>
      <c r="M74" s="374"/>
      <c r="N74" s="374"/>
      <c r="O74" s="374"/>
    </row>
    <row r="75" spans="1:15" ht="15" customHeight="1" x14ac:dyDescent="0.25">
      <c r="A75" s="376"/>
      <c r="B75" s="360"/>
      <c r="D75" s="380"/>
      <c r="E75" s="380"/>
      <c r="F75" s="374"/>
      <c r="G75" s="374"/>
      <c r="H75" s="374"/>
      <c r="I75" s="374"/>
      <c r="J75" s="374"/>
      <c r="K75" s="374"/>
      <c r="L75" s="374"/>
      <c r="M75" s="374"/>
      <c r="N75" s="374"/>
      <c r="O75" s="374"/>
    </row>
    <row r="76" spans="1:15" ht="15" customHeight="1" x14ac:dyDescent="0.25">
      <c r="A76" s="376"/>
      <c r="B76" s="360"/>
      <c r="D76" s="380"/>
      <c r="E76" s="380"/>
      <c r="F76" s="374"/>
      <c r="G76" s="374"/>
      <c r="H76" s="374"/>
      <c r="I76" s="374"/>
      <c r="J76" s="374"/>
      <c r="K76" s="374"/>
      <c r="L76" s="374"/>
      <c r="M76" s="374"/>
      <c r="N76" s="374"/>
      <c r="O76" s="374"/>
    </row>
    <row r="77" spans="1:15" ht="15" customHeight="1" x14ac:dyDescent="0.25">
      <c r="A77" s="376"/>
      <c r="B77" s="360"/>
      <c r="D77" s="380"/>
      <c r="E77" s="380"/>
      <c r="F77" s="374"/>
      <c r="G77" s="374"/>
      <c r="H77" s="374"/>
      <c r="I77" s="374"/>
      <c r="J77" s="374"/>
      <c r="K77" s="374"/>
      <c r="L77" s="374"/>
      <c r="M77" s="374"/>
      <c r="N77" s="374"/>
      <c r="O77" s="374"/>
    </row>
    <row r="78" spans="1:15" ht="15" customHeight="1" x14ac:dyDescent="0.25">
      <c r="A78" s="376"/>
      <c r="B78" s="360"/>
      <c r="D78" s="380"/>
      <c r="E78" s="380"/>
      <c r="F78" s="374"/>
      <c r="G78" s="374"/>
      <c r="H78" s="374"/>
      <c r="I78" s="374"/>
      <c r="J78" s="374"/>
      <c r="K78" s="374"/>
      <c r="L78" s="374"/>
      <c r="M78" s="374"/>
      <c r="N78" s="374"/>
      <c r="O78" s="374"/>
    </row>
    <row r="79" spans="1:15" ht="15" customHeight="1" x14ac:dyDescent="0.25">
      <c r="A79" s="376"/>
      <c r="B79" s="360"/>
      <c r="D79" s="380"/>
      <c r="E79" s="380"/>
      <c r="F79" s="374"/>
      <c r="G79" s="374"/>
      <c r="H79" s="374"/>
      <c r="I79" s="374"/>
      <c r="J79" s="374"/>
      <c r="K79" s="374"/>
      <c r="L79" s="374"/>
      <c r="M79" s="374"/>
      <c r="N79" s="374"/>
      <c r="O79" s="374"/>
    </row>
    <row r="80" spans="1:15" ht="15" customHeight="1" x14ac:dyDescent="0.25">
      <c r="A80" s="376"/>
      <c r="B80" s="360"/>
      <c r="D80" s="380"/>
      <c r="E80" s="380"/>
      <c r="F80" s="374"/>
      <c r="G80" s="374"/>
      <c r="H80" s="374"/>
      <c r="I80" s="374"/>
      <c r="J80" s="374"/>
      <c r="K80" s="374"/>
      <c r="L80" s="374"/>
      <c r="M80" s="374"/>
      <c r="N80" s="374"/>
      <c r="O80" s="374"/>
    </row>
    <row r="81" spans="1:16" ht="15" customHeight="1" x14ac:dyDescent="0.25">
      <c r="B81" s="360"/>
      <c r="D81" s="380"/>
      <c r="E81" s="380"/>
      <c r="F81" s="374"/>
      <c r="G81" s="374"/>
      <c r="H81" s="374"/>
      <c r="I81" s="374"/>
      <c r="J81" s="374"/>
      <c r="K81" s="374"/>
      <c r="L81" s="374"/>
      <c r="M81" s="374"/>
      <c r="N81" s="374"/>
      <c r="O81" s="374"/>
    </row>
    <row r="82" spans="1:16" ht="15" customHeight="1" x14ac:dyDescent="0.25">
      <c r="C82" s="381"/>
      <c r="D82" s="382"/>
    </row>
    <row r="83" spans="1:16" s="375" customFormat="1" ht="15" customHeight="1" x14ac:dyDescent="0.25">
      <c r="A83" s="376"/>
      <c r="B83" s="373"/>
      <c r="C83" s="381"/>
      <c r="D83" s="382"/>
      <c r="F83" s="360"/>
      <c r="G83" s="360"/>
      <c r="H83" s="360"/>
      <c r="I83" s="360"/>
      <c r="J83" s="360"/>
      <c r="K83" s="360"/>
      <c r="L83" s="360"/>
      <c r="M83" s="360"/>
      <c r="N83" s="360"/>
      <c r="O83" s="360"/>
      <c r="P83" s="360"/>
    </row>
    <row r="84" spans="1:16" s="375" customFormat="1" ht="15" customHeight="1" x14ac:dyDescent="0.25">
      <c r="A84" s="376"/>
      <c r="B84" s="373"/>
      <c r="C84" s="381"/>
      <c r="D84" s="382"/>
      <c r="F84" s="360"/>
      <c r="G84" s="360"/>
      <c r="H84" s="360"/>
      <c r="I84" s="360"/>
      <c r="J84" s="360"/>
      <c r="K84" s="360"/>
      <c r="L84" s="360"/>
      <c r="M84" s="360"/>
      <c r="N84" s="360"/>
      <c r="O84" s="360"/>
      <c r="P84" s="360"/>
    </row>
    <row r="85" spans="1:16" s="375" customFormat="1" ht="15" customHeight="1" x14ac:dyDescent="0.25">
      <c r="A85" s="376"/>
      <c r="B85" s="373"/>
      <c r="C85" s="381"/>
      <c r="D85" s="382"/>
      <c r="F85" s="360"/>
      <c r="G85" s="360"/>
      <c r="H85" s="360"/>
      <c r="I85" s="360"/>
      <c r="J85" s="360"/>
      <c r="K85" s="360"/>
      <c r="L85" s="360"/>
      <c r="M85" s="360"/>
      <c r="N85" s="360"/>
      <c r="O85" s="360"/>
      <c r="P85" s="360"/>
    </row>
    <row r="86" spans="1:16" s="375" customFormat="1" ht="15" customHeight="1" x14ac:dyDescent="0.25">
      <c r="A86" s="376"/>
      <c r="B86" s="360"/>
      <c r="C86" s="381"/>
      <c r="D86" s="382"/>
      <c r="F86" s="360"/>
      <c r="G86" s="360"/>
      <c r="H86" s="360"/>
      <c r="I86" s="360"/>
      <c r="J86" s="360"/>
      <c r="K86" s="360"/>
      <c r="L86" s="360"/>
      <c r="M86" s="360"/>
      <c r="N86" s="360"/>
      <c r="O86" s="360"/>
      <c r="P86" s="360"/>
    </row>
    <row r="87" spans="1:16" s="375" customFormat="1" ht="15" customHeight="1" x14ac:dyDescent="0.25">
      <c r="A87" s="376"/>
      <c r="B87" s="360"/>
      <c r="C87" s="381"/>
      <c r="D87" s="382"/>
      <c r="F87" s="360"/>
      <c r="G87" s="360"/>
      <c r="H87" s="360"/>
      <c r="I87" s="360"/>
      <c r="J87" s="360"/>
      <c r="K87" s="360"/>
      <c r="L87" s="360"/>
      <c r="M87" s="360"/>
      <c r="N87" s="360"/>
      <c r="O87" s="360"/>
      <c r="P87" s="360"/>
    </row>
    <row r="88" spans="1:16" s="375" customFormat="1" ht="15" customHeight="1" x14ac:dyDescent="0.25">
      <c r="A88" s="376"/>
      <c r="B88" s="360"/>
      <c r="C88" s="381"/>
      <c r="D88" s="382"/>
      <c r="F88" s="360"/>
      <c r="G88" s="360"/>
      <c r="H88" s="360"/>
      <c r="I88" s="360"/>
      <c r="J88" s="360"/>
      <c r="K88" s="360"/>
      <c r="L88" s="360"/>
      <c r="M88" s="360"/>
      <c r="N88" s="360"/>
      <c r="O88" s="360"/>
      <c r="P88" s="360"/>
    </row>
    <row r="89" spans="1:16" s="375" customFormat="1" ht="15" customHeight="1" x14ac:dyDescent="0.25">
      <c r="A89" s="376"/>
      <c r="B89" s="373"/>
      <c r="C89" s="374"/>
      <c r="D89" s="382"/>
      <c r="F89" s="360"/>
      <c r="G89" s="360"/>
      <c r="H89" s="360"/>
      <c r="I89" s="360"/>
      <c r="J89" s="360"/>
      <c r="K89" s="360"/>
      <c r="L89" s="360"/>
      <c r="M89" s="360"/>
      <c r="N89" s="360"/>
      <c r="O89" s="360"/>
      <c r="P89" s="360"/>
    </row>
    <row r="90" spans="1:16" s="375" customFormat="1" ht="15" customHeight="1" x14ac:dyDescent="0.25">
      <c r="A90" s="376"/>
      <c r="B90" s="373"/>
      <c r="C90" s="374"/>
      <c r="D90" s="382"/>
      <c r="F90" s="360"/>
      <c r="G90" s="360"/>
      <c r="H90" s="360"/>
      <c r="I90" s="360"/>
      <c r="J90" s="360"/>
      <c r="K90" s="360"/>
      <c r="L90" s="360"/>
      <c r="M90" s="360"/>
      <c r="N90" s="360"/>
      <c r="O90" s="360"/>
      <c r="P90" s="360"/>
    </row>
    <row r="91" spans="1:16" s="375" customFormat="1" ht="15" customHeight="1" x14ac:dyDescent="0.25">
      <c r="A91" s="376"/>
      <c r="B91" s="373"/>
      <c r="C91" s="381"/>
      <c r="D91" s="382"/>
      <c r="F91" s="360"/>
      <c r="G91" s="360"/>
      <c r="H91" s="360"/>
      <c r="I91" s="360"/>
      <c r="J91" s="360"/>
      <c r="K91" s="360"/>
      <c r="L91" s="360"/>
      <c r="M91" s="360"/>
      <c r="N91" s="360"/>
      <c r="O91" s="360"/>
      <c r="P91" s="360"/>
    </row>
    <row r="92" spans="1:16" s="375" customFormat="1" ht="15" customHeight="1" x14ac:dyDescent="0.25">
      <c r="A92" s="376"/>
      <c r="B92" s="360"/>
      <c r="C92" s="381"/>
      <c r="D92" s="382"/>
      <c r="F92" s="360"/>
      <c r="G92" s="360"/>
      <c r="H92" s="360"/>
      <c r="I92" s="360"/>
      <c r="J92" s="360"/>
      <c r="K92" s="360"/>
      <c r="L92" s="360"/>
      <c r="M92" s="360"/>
      <c r="N92" s="360"/>
      <c r="O92" s="360"/>
      <c r="P92" s="360"/>
    </row>
    <row r="93" spans="1:16" s="375" customFormat="1" ht="15" customHeight="1" x14ac:dyDescent="0.25">
      <c r="A93" s="376"/>
      <c r="B93" s="373"/>
      <c r="C93" s="381"/>
      <c r="D93" s="382"/>
      <c r="F93" s="360"/>
      <c r="G93" s="360"/>
      <c r="H93" s="360"/>
      <c r="I93" s="360"/>
      <c r="J93" s="360"/>
      <c r="K93" s="360"/>
      <c r="L93" s="360"/>
      <c r="M93" s="360"/>
      <c r="N93" s="360"/>
      <c r="O93" s="360"/>
      <c r="P93" s="360"/>
    </row>
    <row r="94" spans="1:16" s="375" customFormat="1" ht="15" customHeight="1" x14ac:dyDescent="0.25">
      <c r="A94" s="376"/>
      <c r="B94" s="360"/>
      <c r="C94" s="381"/>
      <c r="D94" s="382"/>
      <c r="F94" s="360"/>
      <c r="G94" s="360"/>
      <c r="H94" s="360"/>
      <c r="I94" s="360"/>
      <c r="J94" s="360"/>
      <c r="K94" s="360"/>
      <c r="L94" s="360"/>
      <c r="M94" s="360"/>
      <c r="N94" s="360"/>
      <c r="O94" s="360"/>
      <c r="P94" s="360"/>
    </row>
    <row r="95" spans="1:16" s="375" customFormat="1" ht="15" customHeight="1" x14ac:dyDescent="0.25">
      <c r="A95" s="376"/>
      <c r="B95" s="373"/>
      <c r="C95" s="381"/>
      <c r="D95" s="382"/>
      <c r="F95" s="360"/>
      <c r="G95" s="360"/>
      <c r="H95" s="360"/>
      <c r="I95" s="360"/>
      <c r="J95" s="360"/>
      <c r="K95" s="360"/>
      <c r="L95" s="360"/>
      <c r="M95" s="360"/>
      <c r="N95" s="360"/>
      <c r="O95" s="360"/>
      <c r="P95" s="360"/>
    </row>
    <row r="96" spans="1:16" s="375" customFormat="1" ht="15" customHeight="1" x14ac:dyDescent="0.25">
      <c r="A96" s="376"/>
      <c r="B96" s="373"/>
      <c r="C96" s="381"/>
      <c r="D96" s="382"/>
      <c r="F96" s="360"/>
      <c r="G96" s="360"/>
      <c r="H96" s="360"/>
      <c r="I96" s="360"/>
      <c r="J96" s="360"/>
      <c r="K96" s="360"/>
      <c r="L96" s="360"/>
      <c r="M96" s="360"/>
      <c r="N96" s="360"/>
      <c r="O96" s="360"/>
      <c r="P96" s="360"/>
    </row>
    <row r="97" spans="1:16" s="375" customFormat="1" ht="15" customHeight="1" x14ac:dyDescent="0.25">
      <c r="A97" s="360"/>
      <c r="B97" s="373"/>
      <c r="C97" s="381"/>
      <c r="D97" s="382"/>
      <c r="F97" s="360"/>
      <c r="G97" s="360"/>
      <c r="H97" s="360"/>
      <c r="I97" s="360"/>
      <c r="J97" s="360"/>
      <c r="K97" s="360"/>
      <c r="L97" s="360"/>
      <c r="M97" s="360"/>
      <c r="N97" s="360"/>
      <c r="O97" s="360"/>
      <c r="P97" s="360"/>
    </row>
    <row r="98" spans="1:16" s="375" customFormat="1" ht="15" customHeight="1" x14ac:dyDescent="0.25">
      <c r="A98" s="360"/>
      <c r="B98" s="373"/>
      <c r="C98" s="381"/>
      <c r="D98" s="382"/>
      <c r="F98" s="360"/>
      <c r="G98" s="360"/>
      <c r="H98" s="360"/>
      <c r="I98" s="360"/>
      <c r="J98" s="360"/>
      <c r="K98" s="360"/>
      <c r="L98" s="360"/>
      <c r="M98" s="360"/>
      <c r="N98" s="360"/>
      <c r="O98" s="360"/>
      <c r="P98" s="360"/>
    </row>
    <row r="99" spans="1:16" ht="15" customHeight="1" x14ac:dyDescent="0.25">
      <c r="C99" s="381"/>
      <c r="D99" s="382"/>
    </row>
    <row r="100" spans="1:16" ht="15" customHeight="1" x14ac:dyDescent="0.25">
      <c r="C100" s="381"/>
      <c r="D100" s="382"/>
    </row>
    <row r="101" spans="1:16" ht="15" customHeight="1" x14ac:dyDescent="0.25">
      <c r="C101" s="381"/>
      <c r="D101" s="382"/>
    </row>
    <row r="102" spans="1:16" ht="15" customHeight="1" x14ac:dyDescent="0.25">
      <c r="C102" s="381"/>
      <c r="D102" s="382"/>
    </row>
    <row r="103" spans="1:16" ht="15" customHeight="1" x14ac:dyDescent="0.25">
      <c r="C103" s="381"/>
      <c r="D103" s="382"/>
    </row>
    <row r="104" spans="1:16" ht="15" customHeight="1" x14ac:dyDescent="0.25">
      <c r="C104" s="381"/>
      <c r="D104" s="382"/>
    </row>
    <row r="105" spans="1:16" ht="15" customHeight="1" x14ac:dyDescent="0.25">
      <c r="C105" s="381"/>
      <c r="D105" s="382"/>
    </row>
    <row r="106" spans="1:16" ht="15" customHeight="1" x14ac:dyDescent="0.25">
      <c r="C106" s="381"/>
      <c r="D106" s="382"/>
    </row>
    <row r="107" spans="1:16" ht="15" customHeight="1" x14ac:dyDescent="0.25">
      <c r="B107" s="360"/>
      <c r="C107" s="381"/>
      <c r="D107" s="382"/>
    </row>
    <row r="108" spans="1:16" ht="15" customHeight="1" x14ac:dyDescent="0.25">
      <c r="A108" s="383"/>
      <c r="B108" s="360"/>
      <c r="C108" s="384"/>
      <c r="D108" s="380"/>
      <c r="F108" s="385"/>
      <c r="G108" s="385"/>
      <c r="H108" s="385"/>
      <c r="I108" s="385"/>
      <c r="J108" s="385"/>
      <c r="K108" s="385"/>
      <c r="L108" s="385"/>
      <c r="M108" s="385"/>
      <c r="N108" s="385"/>
      <c r="O108" s="385"/>
    </row>
    <row r="109" spans="1:16" ht="15" customHeight="1" x14ac:dyDescent="0.25">
      <c r="A109" s="383"/>
      <c r="B109" s="386"/>
      <c r="C109" s="384"/>
      <c r="D109" s="380"/>
      <c r="E109" s="380"/>
      <c r="F109" s="387"/>
      <c r="G109" s="387"/>
      <c r="H109" s="387"/>
      <c r="I109" s="387"/>
      <c r="J109" s="387"/>
      <c r="K109" s="387"/>
      <c r="L109" s="387"/>
      <c r="M109" s="387"/>
      <c r="N109" s="387"/>
      <c r="O109" s="387"/>
    </row>
    <row r="110" spans="1:16" ht="15" customHeight="1" x14ac:dyDescent="0.25">
      <c r="A110" s="383"/>
      <c r="B110" s="386"/>
      <c r="C110" s="384"/>
      <c r="F110" s="385"/>
      <c r="G110" s="385"/>
      <c r="H110" s="385"/>
      <c r="I110" s="385"/>
      <c r="J110" s="385"/>
      <c r="K110" s="385"/>
      <c r="L110" s="385"/>
      <c r="M110" s="385"/>
      <c r="N110" s="385"/>
      <c r="O110" s="385"/>
    </row>
    <row r="111" spans="1:16" ht="15" customHeight="1" x14ac:dyDescent="0.25">
      <c r="A111" s="383"/>
      <c r="B111" s="386"/>
      <c r="C111" s="384"/>
      <c r="F111" s="385"/>
      <c r="G111" s="385"/>
      <c r="H111" s="385"/>
      <c r="I111" s="385"/>
      <c r="J111" s="385"/>
      <c r="K111" s="385"/>
      <c r="L111" s="385"/>
      <c r="M111" s="385"/>
      <c r="N111" s="385"/>
      <c r="O111" s="385"/>
    </row>
    <row r="112" spans="1:16" ht="15" customHeight="1" x14ac:dyDescent="0.25">
      <c r="A112" s="383"/>
      <c r="C112" s="384"/>
      <c r="F112" s="385"/>
      <c r="G112" s="385"/>
      <c r="H112" s="385"/>
      <c r="I112" s="385"/>
      <c r="J112" s="385"/>
      <c r="K112" s="385"/>
      <c r="L112" s="385"/>
      <c r="M112" s="385"/>
      <c r="N112" s="385"/>
      <c r="O112" s="385"/>
    </row>
    <row r="113" spans="1:15" ht="15" customHeight="1" x14ac:dyDescent="0.25">
      <c r="A113" s="383"/>
      <c r="C113" s="384"/>
      <c r="F113" s="385"/>
      <c r="G113" s="385"/>
      <c r="H113" s="385"/>
      <c r="I113" s="385"/>
      <c r="J113" s="385"/>
      <c r="K113" s="385"/>
      <c r="L113" s="385"/>
      <c r="M113" s="385"/>
      <c r="N113" s="385"/>
      <c r="O113" s="385"/>
    </row>
    <row r="114" spans="1:15" ht="15" customHeight="1" x14ac:dyDescent="0.25">
      <c r="A114" s="383"/>
      <c r="B114" s="388"/>
      <c r="C114" s="384"/>
      <c r="F114" s="385"/>
      <c r="G114" s="385"/>
      <c r="H114" s="385"/>
      <c r="I114" s="385"/>
      <c r="J114" s="385"/>
      <c r="K114" s="385"/>
      <c r="L114" s="385"/>
      <c r="M114" s="385"/>
      <c r="N114" s="385"/>
      <c r="O114" s="385"/>
    </row>
    <row r="115" spans="1:15" ht="15" customHeight="1" x14ac:dyDescent="0.25">
      <c r="A115" s="383"/>
      <c r="C115" s="384"/>
      <c r="F115" s="385"/>
      <c r="G115" s="385"/>
      <c r="H115" s="385"/>
      <c r="I115" s="385"/>
      <c r="J115" s="385"/>
      <c r="K115" s="385"/>
      <c r="L115" s="385"/>
      <c r="M115" s="385"/>
      <c r="N115" s="385"/>
      <c r="O115" s="385"/>
    </row>
    <row r="116" spans="1:15" ht="15" customHeight="1" x14ac:dyDescent="0.25">
      <c r="A116" s="383"/>
      <c r="B116" s="386"/>
      <c r="C116" s="384"/>
      <c r="F116" s="385"/>
      <c r="G116" s="385"/>
      <c r="H116" s="385"/>
      <c r="I116" s="385"/>
      <c r="J116" s="385"/>
      <c r="K116" s="385"/>
      <c r="L116" s="385"/>
      <c r="M116" s="385"/>
      <c r="N116" s="385"/>
      <c r="O116" s="385"/>
    </row>
    <row r="117" spans="1:15" ht="15" customHeight="1" x14ac:dyDescent="0.25">
      <c r="A117" s="383"/>
      <c r="B117" s="386"/>
      <c r="C117" s="384"/>
      <c r="F117" s="385"/>
      <c r="G117" s="385"/>
      <c r="H117" s="385"/>
      <c r="I117" s="385"/>
      <c r="J117" s="385"/>
      <c r="K117" s="385"/>
      <c r="L117" s="385"/>
      <c r="M117" s="385"/>
      <c r="N117" s="385"/>
      <c r="O117" s="385"/>
    </row>
    <row r="118" spans="1:15" ht="15" customHeight="1" x14ac:dyDescent="0.25">
      <c r="A118" s="383"/>
      <c r="B118" s="386"/>
      <c r="C118" s="384"/>
      <c r="F118" s="385"/>
      <c r="G118" s="385"/>
      <c r="H118" s="385"/>
      <c r="I118" s="385"/>
      <c r="J118" s="385"/>
      <c r="K118" s="385"/>
      <c r="L118" s="385"/>
      <c r="M118" s="385"/>
      <c r="N118" s="385"/>
      <c r="O118" s="385"/>
    </row>
    <row r="119" spans="1:15" ht="15" customHeight="1" x14ac:dyDescent="0.25">
      <c r="A119" s="383"/>
      <c r="B119" s="386"/>
      <c r="C119" s="384"/>
      <c r="F119" s="385"/>
      <c r="G119" s="385"/>
      <c r="H119" s="385"/>
      <c r="I119" s="385"/>
      <c r="J119" s="385"/>
      <c r="K119" s="385"/>
      <c r="L119" s="385"/>
      <c r="M119" s="385"/>
      <c r="N119" s="385"/>
      <c r="O119" s="385"/>
    </row>
    <row r="120" spans="1:15" ht="15" customHeight="1" x14ac:dyDescent="0.25">
      <c r="A120" s="383"/>
      <c r="B120" s="386"/>
      <c r="C120" s="384"/>
      <c r="F120" s="385"/>
      <c r="G120" s="385"/>
      <c r="H120" s="385"/>
      <c r="I120" s="385"/>
      <c r="J120" s="385"/>
      <c r="K120" s="385"/>
      <c r="L120" s="385"/>
      <c r="M120" s="385"/>
      <c r="N120" s="385"/>
      <c r="O120" s="385"/>
    </row>
    <row r="121" spans="1:15" ht="15" customHeight="1" x14ac:dyDescent="0.25">
      <c r="A121" s="383"/>
      <c r="B121" s="386"/>
      <c r="C121" s="384"/>
      <c r="F121" s="385"/>
      <c r="G121" s="385"/>
      <c r="H121" s="385"/>
      <c r="I121" s="385"/>
      <c r="J121" s="385"/>
      <c r="K121" s="385"/>
      <c r="L121" s="385"/>
      <c r="M121" s="385"/>
      <c r="N121" s="385"/>
      <c r="O121" s="385"/>
    </row>
    <row r="122" spans="1:15" ht="15" customHeight="1" x14ac:dyDescent="0.25">
      <c r="C122" s="384"/>
      <c r="F122" s="385"/>
      <c r="G122" s="385"/>
      <c r="H122" s="385"/>
      <c r="I122" s="385"/>
      <c r="J122" s="385"/>
      <c r="K122" s="385"/>
      <c r="L122" s="385"/>
      <c r="M122" s="385"/>
      <c r="N122" s="385"/>
      <c r="O122" s="385"/>
    </row>
    <row r="123" spans="1:15" ht="15" customHeight="1" x14ac:dyDescent="0.25">
      <c r="B123" s="386"/>
      <c r="C123" s="384"/>
      <c r="F123" s="385"/>
      <c r="G123" s="385"/>
      <c r="H123" s="385"/>
      <c r="I123" s="385"/>
      <c r="J123" s="385"/>
      <c r="K123" s="385"/>
      <c r="L123" s="385"/>
      <c r="M123" s="385"/>
      <c r="N123" s="385"/>
      <c r="O123" s="385"/>
    </row>
    <row r="124" spans="1:15" ht="15" customHeight="1" x14ac:dyDescent="0.25">
      <c r="B124" s="386"/>
      <c r="C124" s="384"/>
      <c r="F124" s="385"/>
      <c r="G124" s="385"/>
      <c r="H124" s="385"/>
      <c r="I124" s="385"/>
      <c r="J124" s="385"/>
      <c r="K124" s="385"/>
      <c r="L124" s="385"/>
      <c r="M124" s="385"/>
      <c r="N124" s="385"/>
      <c r="O124" s="385"/>
    </row>
    <row r="125" spans="1:15" ht="15" customHeight="1" x14ac:dyDescent="0.25">
      <c r="B125" s="386"/>
      <c r="C125" s="384"/>
      <c r="F125" s="385"/>
      <c r="G125" s="385"/>
      <c r="H125" s="385"/>
      <c r="I125" s="385"/>
      <c r="J125" s="385"/>
      <c r="K125" s="385"/>
      <c r="L125" s="385"/>
      <c r="M125" s="385"/>
      <c r="N125" s="385"/>
      <c r="O125" s="385"/>
    </row>
    <row r="126" spans="1:15" ht="15" customHeight="1" x14ac:dyDescent="0.25">
      <c r="B126" s="388"/>
      <c r="C126" s="384"/>
      <c r="F126" s="385"/>
      <c r="G126" s="385"/>
      <c r="H126" s="385"/>
      <c r="I126" s="385"/>
      <c r="J126" s="385"/>
      <c r="K126" s="385"/>
      <c r="L126" s="385"/>
      <c r="M126" s="385"/>
      <c r="N126" s="385"/>
      <c r="O126" s="385"/>
    </row>
    <row r="127" spans="1:15" ht="15" customHeight="1" x14ac:dyDescent="0.25">
      <c r="B127" s="386"/>
      <c r="C127" s="384"/>
      <c r="F127" s="385"/>
      <c r="G127" s="385"/>
      <c r="H127" s="385"/>
      <c r="I127" s="385"/>
      <c r="J127" s="385"/>
      <c r="K127" s="385"/>
      <c r="L127" s="385"/>
      <c r="M127" s="385"/>
      <c r="N127" s="385"/>
      <c r="O127" s="385"/>
    </row>
    <row r="128" spans="1:15" ht="15" customHeight="1" x14ac:dyDescent="0.25">
      <c r="B128" s="386"/>
      <c r="C128" s="384"/>
      <c r="F128" s="385"/>
      <c r="G128" s="385"/>
      <c r="H128" s="385"/>
      <c r="I128" s="385"/>
      <c r="J128" s="385"/>
      <c r="K128" s="385"/>
      <c r="L128" s="385"/>
      <c r="M128" s="385"/>
      <c r="N128" s="385"/>
      <c r="O128" s="385"/>
    </row>
    <row r="129" spans="2:15" ht="15" customHeight="1" x14ac:dyDescent="0.25">
      <c r="B129" s="386"/>
      <c r="C129" s="384"/>
      <c r="F129" s="385"/>
      <c r="G129" s="385"/>
      <c r="H129" s="385"/>
      <c r="I129" s="385"/>
      <c r="J129" s="385"/>
      <c r="K129" s="385"/>
      <c r="L129" s="385"/>
      <c r="M129" s="385"/>
      <c r="N129" s="385"/>
      <c r="O129" s="385"/>
    </row>
    <row r="130" spans="2:15" ht="15" customHeight="1" x14ac:dyDescent="0.25">
      <c r="B130" s="386"/>
      <c r="C130" s="384"/>
      <c r="F130" s="385"/>
      <c r="G130" s="385"/>
      <c r="H130" s="385"/>
      <c r="I130" s="385"/>
      <c r="J130" s="385"/>
      <c r="K130" s="385"/>
      <c r="L130" s="385"/>
      <c r="M130" s="385"/>
      <c r="N130" s="385"/>
      <c r="O130" s="385"/>
    </row>
    <row r="131" spans="2:15" ht="15" customHeight="1" x14ac:dyDescent="0.25">
      <c r="B131" s="386"/>
      <c r="C131" s="384"/>
      <c r="F131" s="385"/>
      <c r="G131" s="385"/>
      <c r="H131" s="385"/>
      <c r="I131" s="385"/>
      <c r="J131" s="385"/>
      <c r="K131" s="385"/>
      <c r="L131" s="385"/>
      <c r="M131" s="385"/>
      <c r="N131" s="385"/>
      <c r="O131" s="385"/>
    </row>
    <row r="132" spans="2:15" ht="15" customHeight="1" x14ac:dyDescent="0.25">
      <c r="B132" s="386"/>
      <c r="C132" s="384"/>
      <c r="F132" s="385"/>
      <c r="G132" s="385"/>
      <c r="H132" s="385"/>
      <c r="I132" s="385"/>
      <c r="J132" s="385"/>
      <c r="K132" s="385"/>
      <c r="L132" s="385"/>
      <c r="M132" s="385"/>
      <c r="N132" s="385"/>
      <c r="O132" s="385"/>
    </row>
    <row r="133" spans="2:15" ht="15" customHeight="1" x14ac:dyDescent="0.25">
      <c r="B133" s="386"/>
      <c r="C133" s="384"/>
      <c r="F133" s="385"/>
      <c r="G133" s="385"/>
      <c r="H133" s="385"/>
      <c r="I133" s="385"/>
      <c r="J133" s="385"/>
      <c r="K133" s="385"/>
      <c r="L133" s="385"/>
      <c r="M133" s="385"/>
      <c r="N133" s="385"/>
      <c r="O133" s="385"/>
    </row>
    <row r="134" spans="2:15" ht="15" customHeight="1" x14ac:dyDescent="0.25">
      <c r="B134" s="386"/>
      <c r="C134" s="384"/>
      <c r="F134" s="385"/>
      <c r="G134" s="385"/>
      <c r="H134" s="385"/>
      <c r="I134" s="385"/>
      <c r="J134" s="385"/>
      <c r="K134" s="385"/>
      <c r="L134" s="385"/>
      <c r="M134" s="385"/>
      <c r="N134" s="385"/>
      <c r="O134" s="385"/>
    </row>
    <row r="135" spans="2:15" ht="15" customHeight="1" x14ac:dyDescent="0.25">
      <c r="B135" s="389"/>
      <c r="C135" s="384"/>
      <c r="F135" s="385"/>
      <c r="G135" s="385"/>
      <c r="H135" s="385"/>
      <c r="I135" s="385"/>
      <c r="J135" s="385"/>
      <c r="K135" s="385"/>
      <c r="L135" s="385"/>
      <c r="M135" s="385"/>
      <c r="N135" s="385"/>
      <c r="O135" s="385"/>
    </row>
    <row r="136" spans="2:15" ht="15" customHeight="1" x14ac:dyDescent="0.25">
      <c r="C136" s="384"/>
      <c r="F136" s="385"/>
      <c r="G136" s="385"/>
      <c r="H136" s="385"/>
      <c r="I136" s="385"/>
      <c r="J136" s="385"/>
      <c r="K136" s="385"/>
      <c r="L136" s="385"/>
      <c r="M136" s="385"/>
      <c r="N136" s="385"/>
      <c r="O136" s="385"/>
    </row>
    <row r="137" spans="2:15" ht="15" customHeight="1" x14ac:dyDescent="0.25">
      <c r="B137" s="389"/>
      <c r="C137" s="384"/>
      <c r="F137" s="385"/>
      <c r="G137" s="385"/>
      <c r="H137" s="385"/>
      <c r="I137" s="385"/>
      <c r="J137" s="385"/>
      <c r="K137" s="385"/>
      <c r="L137" s="385"/>
      <c r="M137" s="385"/>
      <c r="N137" s="385"/>
      <c r="O137" s="385"/>
    </row>
    <row r="138" spans="2:15" ht="15" customHeight="1" x14ac:dyDescent="0.25">
      <c r="C138" s="384"/>
      <c r="F138" s="385"/>
      <c r="G138" s="385"/>
      <c r="H138" s="385"/>
      <c r="I138" s="385"/>
      <c r="J138" s="385"/>
      <c r="K138" s="385"/>
      <c r="L138" s="385"/>
      <c r="M138" s="385"/>
      <c r="N138" s="385"/>
      <c r="O138" s="385"/>
    </row>
    <row r="139" spans="2:15" ht="15" customHeight="1" x14ac:dyDescent="0.25">
      <c r="B139" s="386"/>
      <c r="C139" s="384"/>
      <c r="F139" s="385"/>
      <c r="G139" s="385"/>
      <c r="H139" s="385"/>
      <c r="I139" s="385"/>
      <c r="J139" s="385"/>
      <c r="K139" s="385"/>
      <c r="L139" s="385"/>
      <c r="M139" s="385"/>
      <c r="N139" s="385"/>
      <c r="O139" s="385"/>
    </row>
    <row r="140" spans="2:15" ht="15" customHeight="1" x14ac:dyDescent="0.25">
      <c r="B140" s="386"/>
      <c r="C140" s="384"/>
      <c r="F140" s="385"/>
      <c r="G140" s="385"/>
      <c r="H140" s="385"/>
      <c r="I140" s="385"/>
      <c r="J140" s="385"/>
      <c r="K140" s="385"/>
      <c r="L140" s="385"/>
      <c r="M140" s="385"/>
      <c r="N140" s="385"/>
      <c r="O140" s="385"/>
    </row>
    <row r="141" spans="2:15" ht="15" customHeight="1" x14ac:dyDescent="0.25">
      <c r="B141" s="386"/>
      <c r="C141" s="384"/>
      <c r="F141" s="385"/>
      <c r="G141" s="385"/>
      <c r="H141" s="385"/>
      <c r="I141" s="385"/>
      <c r="J141" s="385"/>
      <c r="K141" s="385"/>
      <c r="L141" s="385"/>
      <c r="M141" s="385"/>
      <c r="N141" s="385"/>
      <c r="O141" s="385"/>
    </row>
    <row r="142" spans="2:15" ht="15" customHeight="1" x14ac:dyDescent="0.25">
      <c r="B142" s="389"/>
      <c r="C142" s="384"/>
      <c r="F142" s="385"/>
      <c r="G142" s="385"/>
      <c r="H142" s="385"/>
      <c r="I142" s="385"/>
      <c r="J142" s="385"/>
      <c r="K142" s="385"/>
      <c r="L142" s="385"/>
      <c r="M142" s="385"/>
      <c r="N142" s="385"/>
      <c r="O142" s="385"/>
    </row>
    <row r="143" spans="2:15" ht="15" customHeight="1" x14ac:dyDescent="0.25">
      <c r="C143" s="384"/>
      <c r="F143" s="385"/>
      <c r="G143" s="385"/>
      <c r="H143" s="385"/>
      <c r="I143" s="385"/>
      <c r="J143" s="385"/>
      <c r="K143" s="385"/>
      <c r="L143" s="385"/>
      <c r="M143" s="385"/>
      <c r="N143" s="385"/>
      <c r="O143" s="385"/>
    </row>
    <row r="144" spans="2:15" ht="15" customHeight="1" x14ac:dyDescent="0.25">
      <c r="B144" s="386"/>
      <c r="C144" s="384"/>
      <c r="F144" s="385"/>
      <c r="G144" s="385"/>
      <c r="H144" s="385"/>
      <c r="I144" s="385"/>
      <c r="J144" s="385"/>
      <c r="K144" s="385"/>
      <c r="L144" s="385"/>
      <c r="M144" s="385"/>
      <c r="N144" s="385"/>
      <c r="O144" s="385"/>
    </row>
    <row r="145" spans="1:15" ht="15" customHeight="1" x14ac:dyDescent="0.25">
      <c r="B145" s="386"/>
      <c r="C145" s="384"/>
      <c r="F145" s="385"/>
      <c r="G145" s="385"/>
      <c r="H145" s="385"/>
      <c r="I145" s="385"/>
      <c r="J145" s="385"/>
      <c r="K145" s="385"/>
      <c r="L145" s="385"/>
      <c r="M145" s="385"/>
      <c r="N145" s="385"/>
      <c r="O145" s="385"/>
    </row>
    <row r="146" spans="1:15" ht="15" customHeight="1" x14ac:dyDescent="0.25">
      <c r="B146" s="389"/>
      <c r="C146" s="384"/>
      <c r="F146" s="385"/>
      <c r="G146" s="385"/>
      <c r="H146" s="385"/>
      <c r="I146" s="385"/>
      <c r="J146" s="385"/>
      <c r="K146" s="385"/>
      <c r="L146" s="385"/>
      <c r="M146" s="385"/>
      <c r="N146" s="385"/>
      <c r="O146" s="385"/>
    </row>
    <row r="147" spans="1:15" ht="15" customHeight="1" x14ac:dyDescent="0.25">
      <c r="C147" s="384"/>
      <c r="F147" s="385"/>
      <c r="G147" s="385"/>
      <c r="H147" s="385"/>
      <c r="I147" s="385"/>
      <c r="J147" s="385"/>
      <c r="K147" s="385"/>
      <c r="L147" s="385"/>
      <c r="M147" s="385"/>
      <c r="N147" s="385"/>
      <c r="O147" s="385"/>
    </row>
    <row r="148" spans="1:15" ht="15" customHeight="1" x14ac:dyDescent="0.25">
      <c r="B148" s="388"/>
      <c r="C148" s="390"/>
      <c r="F148" s="385"/>
      <c r="G148" s="385"/>
      <c r="H148" s="385"/>
      <c r="I148" s="385"/>
      <c r="J148" s="385"/>
      <c r="K148" s="385"/>
      <c r="L148" s="385"/>
      <c r="M148" s="385"/>
      <c r="N148" s="385"/>
      <c r="O148" s="385"/>
    </row>
    <row r="149" spans="1:15" ht="15" customHeight="1" x14ac:dyDescent="0.25">
      <c r="B149" s="389"/>
      <c r="C149" s="384"/>
      <c r="F149" s="385"/>
      <c r="G149" s="385"/>
      <c r="H149" s="385"/>
      <c r="I149" s="385"/>
      <c r="J149" s="385"/>
      <c r="K149" s="385"/>
      <c r="L149" s="385"/>
      <c r="M149" s="385"/>
      <c r="N149" s="385"/>
      <c r="O149" s="385"/>
    </row>
    <row r="150" spans="1:15" ht="15" customHeight="1" x14ac:dyDescent="0.25">
      <c r="B150" s="389"/>
      <c r="C150" s="384"/>
      <c r="F150" s="385"/>
      <c r="G150" s="385"/>
      <c r="H150" s="385"/>
      <c r="I150" s="385"/>
      <c r="J150" s="385"/>
      <c r="K150" s="385"/>
      <c r="L150" s="385"/>
      <c r="M150" s="385"/>
      <c r="N150" s="385"/>
      <c r="O150" s="385"/>
    </row>
    <row r="151" spans="1:15" ht="15" customHeight="1" x14ac:dyDescent="0.25">
      <c r="C151" s="384"/>
      <c r="F151" s="385"/>
      <c r="G151" s="385"/>
      <c r="H151" s="385"/>
      <c r="I151" s="385"/>
      <c r="J151" s="385"/>
      <c r="K151" s="385"/>
      <c r="L151" s="385"/>
      <c r="M151" s="385"/>
      <c r="N151" s="385"/>
      <c r="O151" s="385"/>
    </row>
    <row r="152" spans="1:15" ht="15" customHeight="1" x14ac:dyDescent="0.25">
      <c r="F152" s="385"/>
      <c r="G152" s="385"/>
      <c r="H152" s="385"/>
      <c r="I152" s="385"/>
      <c r="J152" s="385"/>
      <c r="K152" s="385"/>
      <c r="L152" s="385"/>
      <c r="M152" s="385"/>
      <c r="N152" s="385"/>
      <c r="O152" s="385"/>
    </row>
    <row r="153" spans="1:15" ht="15" customHeight="1" x14ac:dyDescent="0.25">
      <c r="C153" s="390"/>
      <c r="F153" s="391"/>
      <c r="G153" s="391"/>
      <c r="H153" s="391"/>
      <c r="I153" s="391"/>
      <c r="J153" s="391"/>
      <c r="K153" s="391"/>
      <c r="L153" s="391"/>
      <c r="M153" s="391"/>
      <c r="N153" s="391"/>
      <c r="O153" s="391"/>
    </row>
    <row r="154" spans="1:15" ht="15" customHeight="1" x14ac:dyDescent="0.25">
      <c r="C154" s="390"/>
      <c r="F154" s="391"/>
      <c r="G154" s="391"/>
      <c r="H154" s="391"/>
      <c r="I154" s="391"/>
      <c r="J154" s="391"/>
      <c r="K154" s="391"/>
      <c r="L154" s="391"/>
      <c r="M154" s="391"/>
      <c r="N154" s="391"/>
      <c r="O154" s="391"/>
    </row>
    <row r="155" spans="1:15" ht="15" customHeight="1" x14ac:dyDescent="0.25"/>
    <row r="156" spans="1:15" ht="15" customHeight="1" x14ac:dyDescent="0.25">
      <c r="A156" s="381"/>
      <c r="C156" s="381"/>
      <c r="D156" s="382"/>
    </row>
    <row r="157" spans="1:15" ht="15" customHeight="1" x14ac:dyDescent="0.25">
      <c r="B157" s="386"/>
      <c r="C157" s="384"/>
      <c r="D157" s="380"/>
      <c r="F157" s="385"/>
      <c r="G157" s="385"/>
      <c r="H157" s="385"/>
      <c r="I157" s="385"/>
      <c r="J157" s="385"/>
      <c r="K157" s="385"/>
      <c r="L157" s="385"/>
      <c r="M157" s="385"/>
      <c r="N157" s="385"/>
      <c r="O157" s="385"/>
    </row>
    <row r="158" spans="1:15" ht="15" customHeight="1" x14ac:dyDescent="0.25">
      <c r="B158" s="386"/>
      <c r="C158" s="384"/>
      <c r="D158" s="380"/>
      <c r="E158" s="380"/>
      <c r="F158" s="387"/>
      <c r="G158" s="387"/>
      <c r="H158" s="387"/>
      <c r="I158" s="387"/>
      <c r="J158" s="387"/>
      <c r="K158" s="387"/>
      <c r="L158" s="387"/>
      <c r="M158" s="387"/>
      <c r="N158" s="387"/>
      <c r="O158" s="387"/>
    </row>
    <row r="159" spans="1:15" ht="15" customHeight="1" x14ac:dyDescent="0.25">
      <c r="B159" s="386"/>
      <c r="C159" s="384"/>
      <c r="F159" s="385"/>
      <c r="G159" s="385"/>
      <c r="H159" s="385"/>
      <c r="I159" s="385"/>
      <c r="J159" s="385"/>
      <c r="K159" s="385"/>
      <c r="L159" s="385"/>
      <c r="M159" s="385"/>
      <c r="N159" s="385"/>
      <c r="O159" s="385"/>
    </row>
    <row r="160" spans="1:15" ht="15" customHeight="1" x14ac:dyDescent="0.25">
      <c r="B160" s="386"/>
      <c r="C160" s="384"/>
      <c r="F160" s="385"/>
      <c r="G160" s="385"/>
      <c r="H160" s="385"/>
      <c r="I160" s="385"/>
      <c r="J160" s="385"/>
      <c r="K160" s="385"/>
      <c r="L160" s="385"/>
      <c r="M160" s="385"/>
      <c r="N160" s="385"/>
      <c r="O160" s="385"/>
    </row>
    <row r="161" spans="2:15" ht="15" customHeight="1" x14ac:dyDescent="0.25">
      <c r="B161" s="386"/>
      <c r="C161" s="384"/>
      <c r="F161" s="385"/>
      <c r="G161" s="385"/>
      <c r="H161" s="385"/>
      <c r="I161" s="385"/>
      <c r="J161" s="385"/>
      <c r="K161" s="385"/>
      <c r="L161" s="385"/>
      <c r="M161" s="385"/>
      <c r="N161" s="385"/>
      <c r="O161" s="385"/>
    </row>
    <row r="162" spans="2:15" ht="15" customHeight="1" x14ac:dyDescent="0.25">
      <c r="B162" s="386"/>
      <c r="C162" s="384"/>
      <c r="F162" s="385"/>
      <c r="G162" s="385"/>
      <c r="H162" s="385"/>
      <c r="I162" s="385"/>
      <c r="J162" s="385"/>
      <c r="K162" s="385"/>
      <c r="L162" s="385"/>
      <c r="M162" s="385"/>
      <c r="N162" s="385"/>
      <c r="O162" s="385"/>
    </row>
    <row r="163" spans="2:15" ht="15" customHeight="1" x14ac:dyDescent="0.25">
      <c r="B163" s="388"/>
      <c r="C163" s="384"/>
      <c r="F163" s="385"/>
      <c r="G163" s="385"/>
      <c r="H163" s="385"/>
      <c r="I163" s="385"/>
      <c r="J163" s="385"/>
      <c r="K163" s="385"/>
      <c r="L163" s="385"/>
      <c r="M163" s="385"/>
      <c r="N163" s="385"/>
      <c r="O163" s="385"/>
    </row>
    <row r="164" spans="2:15" ht="15" customHeight="1" x14ac:dyDescent="0.25">
      <c r="C164" s="384"/>
      <c r="F164" s="385"/>
      <c r="G164" s="385"/>
      <c r="H164" s="385"/>
      <c r="I164" s="385"/>
      <c r="J164" s="385"/>
      <c r="K164" s="385"/>
      <c r="L164" s="385"/>
      <c r="M164" s="385"/>
      <c r="N164" s="385"/>
      <c r="O164" s="385"/>
    </row>
    <row r="165" spans="2:15" ht="15" customHeight="1" x14ac:dyDescent="0.25">
      <c r="B165" s="386"/>
      <c r="C165" s="384"/>
      <c r="F165" s="385"/>
      <c r="G165" s="385"/>
      <c r="H165" s="385"/>
      <c r="I165" s="385"/>
      <c r="J165" s="385"/>
      <c r="K165" s="385"/>
      <c r="L165" s="385"/>
      <c r="M165" s="385"/>
      <c r="N165" s="385"/>
      <c r="O165" s="385"/>
    </row>
    <row r="166" spans="2:15" ht="15" customHeight="1" x14ac:dyDescent="0.25">
      <c r="B166" s="386"/>
      <c r="C166" s="384"/>
      <c r="F166" s="385"/>
      <c r="G166" s="385"/>
      <c r="H166" s="385"/>
      <c r="I166" s="385"/>
      <c r="J166" s="385"/>
      <c r="K166" s="385"/>
      <c r="L166" s="385"/>
      <c r="M166" s="385"/>
      <c r="N166" s="385"/>
      <c r="O166" s="385"/>
    </row>
    <row r="167" spans="2:15" ht="15" customHeight="1" x14ac:dyDescent="0.25">
      <c r="B167" s="386"/>
      <c r="C167" s="384"/>
      <c r="F167" s="385"/>
      <c r="G167" s="385"/>
      <c r="H167" s="385"/>
      <c r="I167" s="385"/>
      <c r="J167" s="385"/>
      <c r="K167" s="385"/>
      <c r="L167" s="385"/>
      <c r="M167" s="385"/>
      <c r="N167" s="385"/>
      <c r="O167" s="385"/>
    </row>
    <row r="168" spans="2:15" ht="15" customHeight="1" x14ac:dyDescent="0.25">
      <c r="B168" s="386"/>
      <c r="C168" s="384"/>
      <c r="F168" s="385"/>
      <c r="G168" s="385"/>
      <c r="H168" s="385"/>
      <c r="I168" s="385"/>
      <c r="J168" s="385"/>
      <c r="K168" s="385"/>
      <c r="L168" s="385"/>
      <c r="M168" s="385"/>
      <c r="N168" s="385"/>
      <c r="O168" s="385"/>
    </row>
    <row r="169" spans="2:15" ht="15" customHeight="1" x14ac:dyDescent="0.25">
      <c r="C169" s="384"/>
      <c r="F169" s="385"/>
      <c r="G169" s="385"/>
      <c r="H169" s="385"/>
      <c r="I169" s="385"/>
      <c r="J169" s="385"/>
      <c r="K169" s="385"/>
      <c r="L169" s="385"/>
      <c r="M169" s="385"/>
      <c r="N169" s="385"/>
      <c r="O169" s="385"/>
    </row>
    <row r="170" spans="2:15" ht="15" customHeight="1" x14ac:dyDescent="0.25">
      <c r="B170" s="386"/>
      <c r="C170" s="384"/>
      <c r="F170" s="385"/>
      <c r="G170" s="385"/>
      <c r="H170" s="385"/>
      <c r="I170" s="385"/>
      <c r="J170" s="385"/>
      <c r="K170" s="385"/>
      <c r="L170" s="385"/>
      <c r="M170" s="385"/>
      <c r="N170" s="385"/>
      <c r="O170" s="385"/>
    </row>
    <row r="171" spans="2:15" ht="15" customHeight="1" x14ac:dyDescent="0.25">
      <c r="B171" s="386"/>
      <c r="C171" s="384"/>
      <c r="F171" s="385"/>
      <c r="G171" s="385"/>
      <c r="H171" s="385"/>
      <c r="I171" s="385"/>
      <c r="J171" s="385"/>
      <c r="K171" s="385"/>
      <c r="L171" s="385"/>
      <c r="M171" s="385"/>
      <c r="N171" s="385"/>
      <c r="O171" s="385"/>
    </row>
    <row r="172" spans="2:15" ht="15" customHeight="1" x14ac:dyDescent="0.25">
      <c r="B172" s="386"/>
      <c r="C172" s="384"/>
      <c r="F172" s="385"/>
      <c r="G172" s="385"/>
      <c r="H172" s="385"/>
      <c r="I172" s="385"/>
      <c r="J172" s="385"/>
      <c r="K172" s="385"/>
      <c r="L172" s="385"/>
      <c r="M172" s="385"/>
      <c r="N172" s="385"/>
      <c r="O172" s="385"/>
    </row>
    <row r="173" spans="2:15" ht="15" customHeight="1" x14ac:dyDescent="0.25">
      <c r="B173" s="388"/>
      <c r="C173" s="384"/>
      <c r="F173" s="385"/>
      <c r="G173" s="385"/>
      <c r="H173" s="385"/>
      <c r="I173" s="385"/>
      <c r="J173" s="385"/>
      <c r="K173" s="385"/>
      <c r="L173" s="385"/>
      <c r="M173" s="385"/>
      <c r="N173" s="385"/>
      <c r="O173" s="385"/>
    </row>
    <row r="174" spans="2:15" ht="15" customHeight="1" x14ac:dyDescent="0.25">
      <c r="B174" s="386"/>
      <c r="C174" s="384"/>
      <c r="F174" s="385"/>
      <c r="G174" s="385"/>
      <c r="H174" s="385"/>
      <c r="I174" s="385"/>
      <c r="J174" s="385"/>
      <c r="K174" s="385"/>
      <c r="L174" s="385"/>
      <c r="M174" s="385"/>
      <c r="N174" s="385"/>
      <c r="O174" s="385"/>
    </row>
    <row r="175" spans="2:15" ht="15" customHeight="1" x14ac:dyDescent="0.25">
      <c r="B175" s="386"/>
      <c r="C175" s="384"/>
      <c r="F175" s="385"/>
      <c r="G175" s="385"/>
      <c r="H175" s="385"/>
      <c r="I175" s="385"/>
      <c r="J175" s="385"/>
      <c r="K175" s="385"/>
      <c r="L175" s="385"/>
      <c r="M175" s="385"/>
      <c r="N175" s="385"/>
      <c r="O175" s="385"/>
    </row>
    <row r="176" spans="2:15" ht="15" customHeight="1" x14ac:dyDescent="0.25">
      <c r="B176" s="386"/>
      <c r="C176" s="384"/>
      <c r="F176" s="385"/>
      <c r="G176" s="385"/>
      <c r="H176" s="385"/>
      <c r="I176" s="385"/>
      <c r="J176" s="385"/>
      <c r="K176" s="385"/>
      <c r="L176" s="385"/>
      <c r="M176" s="385"/>
      <c r="N176" s="385"/>
      <c r="O176" s="385"/>
    </row>
    <row r="177" spans="2:15" ht="15" customHeight="1" x14ac:dyDescent="0.25">
      <c r="B177" s="386"/>
      <c r="C177" s="384"/>
      <c r="F177" s="385"/>
      <c r="G177" s="385"/>
      <c r="H177" s="385"/>
      <c r="I177" s="385"/>
      <c r="J177" s="385"/>
      <c r="K177" s="385"/>
      <c r="L177" s="385"/>
      <c r="M177" s="385"/>
      <c r="N177" s="385"/>
      <c r="O177" s="385"/>
    </row>
    <row r="178" spans="2:15" ht="15" customHeight="1" x14ac:dyDescent="0.25">
      <c r="B178" s="386"/>
      <c r="C178" s="384"/>
      <c r="F178" s="385"/>
      <c r="G178" s="385"/>
      <c r="H178" s="385"/>
      <c r="I178" s="385"/>
      <c r="J178" s="385"/>
      <c r="K178" s="385"/>
      <c r="L178" s="385"/>
      <c r="M178" s="385"/>
      <c r="N178" s="385"/>
      <c r="O178" s="385"/>
    </row>
    <row r="179" spans="2:15" ht="15" customHeight="1" x14ac:dyDescent="0.25">
      <c r="B179" s="386"/>
      <c r="C179" s="384"/>
      <c r="F179" s="385"/>
      <c r="G179" s="385"/>
      <c r="H179" s="385"/>
      <c r="I179" s="385"/>
      <c r="J179" s="385"/>
      <c r="K179" s="385"/>
      <c r="L179" s="385"/>
      <c r="M179" s="385"/>
      <c r="N179" s="385"/>
      <c r="O179" s="385"/>
    </row>
    <row r="180" spans="2:15" ht="15" customHeight="1" x14ac:dyDescent="0.25">
      <c r="B180" s="386"/>
      <c r="C180" s="384"/>
      <c r="F180" s="385"/>
      <c r="G180" s="385"/>
      <c r="H180" s="385"/>
      <c r="I180" s="385"/>
      <c r="J180" s="385"/>
      <c r="K180" s="385"/>
      <c r="L180" s="385"/>
      <c r="M180" s="385"/>
      <c r="N180" s="385"/>
      <c r="O180" s="385"/>
    </row>
    <row r="181" spans="2:15" ht="15" customHeight="1" x14ac:dyDescent="0.25">
      <c r="B181" s="386"/>
      <c r="C181" s="384"/>
      <c r="F181" s="385"/>
      <c r="G181" s="385"/>
      <c r="H181" s="385"/>
      <c r="I181" s="385"/>
      <c r="J181" s="385"/>
      <c r="K181" s="385"/>
      <c r="L181" s="385"/>
      <c r="M181" s="385"/>
      <c r="N181" s="385"/>
      <c r="O181" s="385"/>
    </row>
    <row r="182" spans="2:15" ht="15" customHeight="1" x14ac:dyDescent="0.25">
      <c r="B182" s="389"/>
      <c r="C182" s="384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2:15" ht="15" customHeight="1" x14ac:dyDescent="0.25">
      <c r="C183" s="384"/>
      <c r="F183" s="385"/>
      <c r="G183" s="385"/>
      <c r="H183" s="385"/>
      <c r="I183" s="385"/>
      <c r="J183" s="385"/>
      <c r="K183" s="385"/>
      <c r="L183" s="385"/>
      <c r="M183" s="385"/>
      <c r="N183" s="385"/>
      <c r="O183" s="385"/>
    </row>
    <row r="184" spans="2:15" ht="15" customHeight="1" x14ac:dyDescent="0.25">
      <c r="B184" s="389"/>
      <c r="C184" s="384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</row>
    <row r="185" spans="2:15" ht="15" customHeight="1" x14ac:dyDescent="0.25">
      <c r="C185" s="384"/>
      <c r="F185" s="385"/>
      <c r="G185" s="385"/>
      <c r="H185" s="385"/>
      <c r="I185" s="385"/>
      <c r="J185" s="385"/>
      <c r="K185" s="385"/>
      <c r="L185" s="385"/>
      <c r="M185" s="385"/>
      <c r="N185" s="385"/>
      <c r="O185" s="385"/>
    </row>
    <row r="186" spans="2:15" ht="15" customHeight="1" x14ac:dyDescent="0.25">
      <c r="B186" s="386"/>
      <c r="C186" s="384"/>
      <c r="F186" s="385"/>
      <c r="G186" s="385"/>
      <c r="H186" s="385"/>
      <c r="I186" s="385"/>
      <c r="J186" s="385"/>
      <c r="K186" s="385"/>
      <c r="L186" s="385"/>
      <c r="M186" s="385"/>
      <c r="N186" s="385"/>
      <c r="O186" s="385"/>
    </row>
    <row r="187" spans="2:15" ht="15" customHeight="1" x14ac:dyDescent="0.25">
      <c r="B187" s="386"/>
      <c r="C187" s="384"/>
      <c r="F187" s="385"/>
      <c r="G187" s="385"/>
      <c r="H187" s="385"/>
      <c r="I187" s="385"/>
      <c r="J187" s="385"/>
      <c r="K187" s="385"/>
      <c r="L187" s="385"/>
      <c r="M187" s="385"/>
      <c r="N187" s="385"/>
      <c r="O187" s="385"/>
    </row>
    <row r="188" spans="2:15" ht="15" customHeight="1" x14ac:dyDescent="0.25">
      <c r="B188" s="386"/>
      <c r="C188" s="384"/>
      <c r="F188" s="385"/>
      <c r="G188" s="385"/>
      <c r="H188" s="385"/>
      <c r="I188" s="385"/>
      <c r="J188" s="385"/>
      <c r="K188" s="385"/>
      <c r="L188" s="385"/>
      <c r="M188" s="385"/>
      <c r="N188" s="385"/>
      <c r="O188" s="385"/>
    </row>
    <row r="189" spans="2:15" ht="15" customHeight="1" x14ac:dyDescent="0.25">
      <c r="B189" s="389"/>
      <c r="C189" s="384"/>
      <c r="F189" s="385"/>
      <c r="G189" s="385"/>
      <c r="H189" s="385"/>
      <c r="I189" s="385"/>
      <c r="J189" s="385"/>
      <c r="K189" s="385"/>
      <c r="L189" s="385"/>
      <c r="M189" s="385"/>
      <c r="N189" s="385"/>
      <c r="O189" s="385"/>
    </row>
    <row r="190" spans="2:15" ht="15" customHeight="1" x14ac:dyDescent="0.25">
      <c r="C190" s="384"/>
      <c r="F190" s="385"/>
      <c r="G190" s="385"/>
      <c r="H190" s="385"/>
      <c r="I190" s="385"/>
      <c r="J190" s="385"/>
      <c r="K190" s="385"/>
      <c r="L190" s="385"/>
      <c r="M190" s="385"/>
      <c r="N190" s="385"/>
      <c r="O190" s="385"/>
    </row>
    <row r="191" spans="2:15" ht="15" customHeight="1" x14ac:dyDescent="0.25">
      <c r="B191" s="386"/>
      <c r="C191" s="384"/>
      <c r="F191" s="385"/>
      <c r="G191" s="385"/>
      <c r="H191" s="385"/>
      <c r="I191" s="385"/>
      <c r="J191" s="385"/>
      <c r="K191" s="385"/>
      <c r="L191" s="385"/>
      <c r="M191" s="385"/>
      <c r="N191" s="385"/>
      <c r="O191" s="385"/>
    </row>
    <row r="192" spans="2:15" ht="15" customHeight="1" x14ac:dyDescent="0.25">
      <c r="B192" s="386"/>
      <c r="C192" s="384"/>
      <c r="F192" s="385"/>
      <c r="G192" s="385"/>
      <c r="H192" s="385"/>
      <c r="I192" s="385"/>
      <c r="J192" s="385"/>
      <c r="K192" s="385"/>
      <c r="L192" s="385"/>
      <c r="M192" s="385"/>
      <c r="N192" s="385"/>
      <c r="O192" s="385"/>
    </row>
    <row r="193" spans="1:15" ht="15" customHeight="1" x14ac:dyDescent="0.25">
      <c r="B193" s="389"/>
      <c r="C193" s="384"/>
      <c r="F193" s="385"/>
      <c r="G193" s="385"/>
      <c r="H193" s="385"/>
      <c r="I193" s="385"/>
      <c r="J193" s="385"/>
      <c r="K193" s="385"/>
      <c r="L193" s="385"/>
      <c r="M193" s="385"/>
      <c r="N193" s="385"/>
      <c r="O193" s="385"/>
    </row>
    <row r="194" spans="1:15" ht="15" customHeight="1" x14ac:dyDescent="0.25">
      <c r="C194" s="384"/>
      <c r="F194" s="385"/>
      <c r="G194" s="385"/>
      <c r="H194" s="385"/>
      <c r="I194" s="385"/>
      <c r="J194" s="385"/>
      <c r="K194" s="385"/>
      <c r="L194" s="385"/>
      <c r="M194" s="385"/>
      <c r="N194" s="385"/>
      <c r="O194" s="385"/>
    </row>
    <row r="195" spans="1:15" ht="15" customHeight="1" x14ac:dyDescent="0.25">
      <c r="B195" s="388"/>
      <c r="C195" s="390"/>
      <c r="F195" s="385"/>
      <c r="G195" s="385"/>
      <c r="H195" s="385"/>
      <c r="I195" s="385"/>
      <c r="J195" s="385"/>
      <c r="K195" s="385"/>
      <c r="L195" s="385"/>
      <c r="M195" s="385"/>
      <c r="N195" s="385"/>
      <c r="O195" s="385"/>
    </row>
    <row r="196" spans="1:15" ht="15" customHeight="1" x14ac:dyDescent="0.25">
      <c r="B196" s="389"/>
      <c r="C196" s="384"/>
      <c r="F196" s="385"/>
      <c r="G196" s="385"/>
      <c r="H196" s="385"/>
      <c r="I196" s="385"/>
      <c r="J196" s="385"/>
      <c r="K196" s="385"/>
      <c r="L196" s="385"/>
      <c r="M196" s="385"/>
      <c r="N196" s="385"/>
      <c r="O196" s="385"/>
    </row>
    <row r="197" spans="1:15" ht="15" customHeight="1" x14ac:dyDescent="0.25">
      <c r="B197" s="389"/>
      <c r="C197" s="384"/>
      <c r="F197" s="385"/>
      <c r="G197" s="385"/>
      <c r="H197" s="385"/>
      <c r="I197" s="385"/>
      <c r="J197" s="385"/>
      <c r="K197" s="385"/>
      <c r="L197" s="385"/>
      <c r="M197" s="385"/>
      <c r="N197" s="385"/>
      <c r="O197" s="385"/>
    </row>
    <row r="198" spans="1:15" ht="15" customHeight="1" x14ac:dyDescent="0.25">
      <c r="C198" s="390"/>
      <c r="F198" s="385"/>
      <c r="G198" s="385"/>
      <c r="H198" s="385"/>
      <c r="I198" s="385"/>
      <c r="J198" s="385"/>
      <c r="K198" s="385"/>
      <c r="L198" s="385"/>
      <c r="M198" s="385"/>
      <c r="N198" s="385"/>
      <c r="O198" s="385"/>
    </row>
    <row r="199" spans="1:15" ht="15" customHeight="1" x14ac:dyDescent="0.25">
      <c r="F199" s="385"/>
      <c r="G199" s="385"/>
      <c r="H199" s="385"/>
      <c r="I199" s="385"/>
      <c r="J199" s="385"/>
      <c r="K199" s="385"/>
      <c r="L199" s="385"/>
      <c r="M199" s="385"/>
      <c r="N199" s="385"/>
      <c r="O199" s="385"/>
    </row>
    <row r="200" spans="1:15" ht="15" customHeight="1" x14ac:dyDescent="0.25">
      <c r="M200" s="391"/>
      <c r="N200" s="391"/>
      <c r="O200" s="391"/>
    </row>
    <row r="201" spans="1:15" ht="15" customHeight="1" x14ac:dyDescent="0.25"/>
    <row r="202" spans="1:15" ht="15" customHeight="1" x14ac:dyDescent="0.25">
      <c r="A202" s="381"/>
      <c r="C202" s="381"/>
      <c r="D202" s="382"/>
    </row>
    <row r="203" spans="1:15" ht="15" customHeight="1" x14ac:dyDescent="0.25">
      <c r="B203" s="386"/>
      <c r="C203" s="384"/>
      <c r="D203" s="380"/>
      <c r="F203" s="385"/>
      <c r="G203" s="385"/>
      <c r="H203" s="385"/>
      <c r="I203" s="385"/>
      <c r="J203" s="385"/>
      <c r="K203" s="385"/>
      <c r="L203" s="385"/>
      <c r="M203" s="385"/>
      <c r="N203" s="385"/>
      <c r="O203" s="385"/>
    </row>
    <row r="204" spans="1:15" ht="15" customHeight="1" x14ac:dyDescent="0.25">
      <c r="B204" s="386"/>
      <c r="C204" s="384"/>
      <c r="D204" s="380"/>
      <c r="E204" s="380"/>
      <c r="F204" s="387"/>
      <c r="G204" s="387"/>
      <c r="H204" s="387"/>
      <c r="I204" s="387"/>
      <c r="J204" s="387"/>
      <c r="K204" s="387"/>
      <c r="L204" s="387"/>
      <c r="M204" s="387"/>
      <c r="N204" s="387"/>
      <c r="O204" s="387"/>
    </row>
    <row r="205" spans="1:15" ht="15" customHeight="1" x14ac:dyDescent="0.25">
      <c r="B205" s="386"/>
      <c r="C205" s="384"/>
      <c r="F205" s="385"/>
      <c r="G205" s="385"/>
      <c r="H205" s="385"/>
      <c r="I205" s="385"/>
      <c r="J205" s="385"/>
      <c r="K205" s="385"/>
      <c r="L205" s="385"/>
      <c r="M205" s="385"/>
      <c r="N205" s="385"/>
      <c r="O205" s="385"/>
    </row>
    <row r="206" spans="1:15" ht="15" customHeight="1" x14ac:dyDescent="0.25">
      <c r="B206" s="386"/>
      <c r="C206" s="384"/>
      <c r="F206" s="385"/>
      <c r="G206" s="385"/>
      <c r="H206" s="385"/>
      <c r="I206" s="385"/>
      <c r="J206" s="385"/>
      <c r="K206" s="385"/>
      <c r="L206" s="385"/>
      <c r="M206" s="385"/>
      <c r="N206" s="385"/>
      <c r="O206" s="385"/>
    </row>
    <row r="207" spans="1:15" ht="15" customHeight="1" x14ac:dyDescent="0.25">
      <c r="B207" s="386"/>
      <c r="C207" s="384"/>
      <c r="F207" s="385"/>
      <c r="G207" s="385"/>
      <c r="H207" s="385"/>
      <c r="I207" s="385"/>
      <c r="J207" s="385"/>
      <c r="K207" s="385"/>
      <c r="L207" s="385"/>
      <c r="M207" s="385"/>
      <c r="N207" s="385"/>
      <c r="O207" s="385"/>
    </row>
    <row r="208" spans="1:15" ht="15" customHeight="1" x14ac:dyDescent="0.25">
      <c r="B208" s="386"/>
      <c r="C208" s="384"/>
      <c r="F208" s="385"/>
      <c r="G208" s="385"/>
      <c r="H208" s="385"/>
      <c r="I208" s="385"/>
      <c r="J208" s="385"/>
      <c r="K208" s="385"/>
      <c r="L208" s="385"/>
      <c r="M208" s="385"/>
      <c r="N208" s="385"/>
      <c r="O208" s="385"/>
    </row>
    <row r="209" spans="2:15" ht="15" customHeight="1" x14ac:dyDescent="0.25">
      <c r="B209" s="388"/>
      <c r="C209" s="384"/>
      <c r="F209" s="385"/>
      <c r="G209" s="385"/>
      <c r="H209" s="385"/>
      <c r="I209" s="385"/>
      <c r="J209" s="385"/>
      <c r="K209" s="385"/>
      <c r="L209" s="385"/>
      <c r="M209" s="385"/>
      <c r="N209" s="385"/>
      <c r="O209" s="385"/>
    </row>
    <row r="210" spans="2:15" ht="15" customHeight="1" x14ac:dyDescent="0.25">
      <c r="C210" s="384"/>
      <c r="F210" s="385"/>
      <c r="G210" s="385"/>
      <c r="H210" s="385"/>
      <c r="I210" s="385"/>
      <c r="J210" s="385"/>
      <c r="K210" s="385"/>
      <c r="L210" s="385"/>
      <c r="M210" s="385"/>
      <c r="N210" s="385"/>
      <c r="O210" s="385"/>
    </row>
    <row r="211" spans="2:15" ht="15" customHeight="1" x14ac:dyDescent="0.25">
      <c r="B211" s="386"/>
      <c r="C211" s="384"/>
      <c r="F211" s="385"/>
      <c r="G211" s="385"/>
      <c r="H211" s="385"/>
      <c r="I211" s="385"/>
      <c r="J211" s="385"/>
      <c r="K211" s="385"/>
      <c r="L211" s="385"/>
      <c r="M211" s="385"/>
      <c r="N211" s="385"/>
      <c r="O211" s="385"/>
    </row>
    <row r="212" spans="2:15" ht="15" customHeight="1" x14ac:dyDescent="0.25">
      <c r="B212" s="386"/>
      <c r="C212" s="384"/>
      <c r="F212" s="385"/>
      <c r="G212" s="385"/>
      <c r="H212" s="385"/>
      <c r="I212" s="385"/>
      <c r="J212" s="385"/>
      <c r="K212" s="385"/>
      <c r="L212" s="385"/>
      <c r="M212" s="385"/>
      <c r="N212" s="385"/>
      <c r="O212" s="385"/>
    </row>
    <row r="213" spans="2:15" ht="15" customHeight="1" x14ac:dyDescent="0.25">
      <c r="B213" s="386"/>
      <c r="C213" s="384"/>
      <c r="F213" s="385"/>
      <c r="G213" s="385"/>
      <c r="H213" s="385"/>
      <c r="I213" s="385"/>
      <c r="J213" s="385"/>
      <c r="K213" s="385"/>
      <c r="L213" s="385"/>
      <c r="M213" s="385"/>
      <c r="N213" s="385"/>
      <c r="O213" s="385"/>
    </row>
    <row r="214" spans="2:15" ht="15" customHeight="1" x14ac:dyDescent="0.25">
      <c r="B214" s="386"/>
      <c r="C214" s="384"/>
      <c r="F214" s="385"/>
      <c r="G214" s="385"/>
      <c r="H214" s="385"/>
      <c r="I214" s="385"/>
      <c r="J214" s="385"/>
      <c r="K214" s="385"/>
      <c r="L214" s="385"/>
      <c r="M214" s="385"/>
      <c r="N214" s="385"/>
      <c r="O214" s="385"/>
    </row>
    <row r="215" spans="2:15" ht="15" customHeight="1" x14ac:dyDescent="0.25">
      <c r="C215" s="384"/>
      <c r="F215" s="385"/>
      <c r="G215" s="385"/>
      <c r="H215" s="385"/>
      <c r="I215" s="385"/>
      <c r="J215" s="385"/>
      <c r="K215" s="385"/>
      <c r="L215" s="385"/>
      <c r="M215" s="385"/>
      <c r="N215" s="385"/>
      <c r="O215" s="385"/>
    </row>
    <row r="216" spans="2:15" ht="15" customHeight="1" x14ac:dyDescent="0.25">
      <c r="B216" s="386"/>
      <c r="C216" s="384"/>
      <c r="F216" s="385"/>
      <c r="G216" s="385"/>
      <c r="H216" s="385"/>
      <c r="I216" s="385"/>
      <c r="J216" s="385"/>
      <c r="K216" s="385"/>
      <c r="L216" s="385"/>
      <c r="M216" s="385"/>
      <c r="N216" s="385"/>
      <c r="O216" s="385"/>
    </row>
    <row r="217" spans="2:15" ht="15" customHeight="1" x14ac:dyDescent="0.25">
      <c r="B217" s="386"/>
      <c r="C217" s="384"/>
      <c r="F217" s="385"/>
      <c r="G217" s="385"/>
      <c r="H217" s="385"/>
      <c r="I217" s="385"/>
      <c r="J217" s="385"/>
      <c r="K217" s="385"/>
      <c r="L217" s="385"/>
      <c r="M217" s="385"/>
      <c r="N217" s="385"/>
      <c r="O217" s="385"/>
    </row>
    <row r="218" spans="2:15" ht="15" customHeight="1" x14ac:dyDescent="0.25">
      <c r="B218" s="386"/>
      <c r="C218" s="384"/>
      <c r="F218" s="385"/>
      <c r="G218" s="385"/>
      <c r="H218" s="385"/>
      <c r="I218" s="385"/>
      <c r="J218" s="385"/>
      <c r="K218" s="385"/>
      <c r="L218" s="385"/>
      <c r="M218" s="385"/>
      <c r="N218" s="385"/>
      <c r="O218" s="385"/>
    </row>
    <row r="219" spans="2:15" ht="15" customHeight="1" x14ac:dyDescent="0.25">
      <c r="B219" s="388"/>
      <c r="C219" s="384"/>
      <c r="F219" s="385"/>
      <c r="G219" s="385"/>
      <c r="H219" s="385"/>
      <c r="I219" s="385"/>
      <c r="J219" s="385"/>
      <c r="K219" s="385"/>
      <c r="L219" s="385"/>
      <c r="M219" s="385"/>
      <c r="N219" s="385"/>
      <c r="O219" s="385"/>
    </row>
    <row r="220" spans="2:15" ht="15" customHeight="1" x14ac:dyDescent="0.25">
      <c r="B220" s="386"/>
      <c r="C220" s="384"/>
      <c r="F220" s="385"/>
      <c r="G220" s="385"/>
      <c r="H220" s="385"/>
      <c r="I220" s="385"/>
      <c r="J220" s="385"/>
      <c r="K220" s="385"/>
      <c r="L220" s="385"/>
      <c r="M220" s="385"/>
      <c r="N220" s="385"/>
      <c r="O220" s="385"/>
    </row>
    <row r="221" spans="2:15" ht="15" customHeight="1" x14ac:dyDescent="0.25">
      <c r="B221" s="386"/>
      <c r="C221" s="384"/>
      <c r="F221" s="385"/>
      <c r="G221" s="385"/>
      <c r="H221" s="385"/>
      <c r="I221" s="385"/>
      <c r="J221" s="385"/>
      <c r="K221" s="385"/>
      <c r="L221" s="385"/>
      <c r="M221" s="385"/>
      <c r="N221" s="385"/>
      <c r="O221" s="385"/>
    </row>
    <row r="222" spans="2:15" ht="15" customHeight="1" x14ac:dyDescent="0.25">
      <c r="B222" s="386"/>
      <c r="C222" s="384"/>
      <c r="F222" s="385"/>
      <c r="G222" s="385"/>
      <c r="H222" s="385"/>
      <c r="I222" s="385"/>
      <c r="J222" s="385"/>
      <c r="K222" s="385"/>
      <c r="L222" s="385"/>
      <c r="M222" s="385"/>
      <c r="N222" s="385"/>
      <c r="O222" s="385"/>
    </row>
    <row r="223" spans="2:15" ht="15" customHeight="1" x14ac:dyDescent="0.25">
      <c r="B223" s="386"/>
      <c r="C223" s="384"/>
      <c r="F223" s="385"/>
      <c r="G223" s="385"/>
      <c r="H223" s="385"/>
      <c r="I223" s="385"/>
      <c r="J223" s="385"/>
      <c r="K223" s="385"/>
      <c r="L223" s="385"/>
      <c r="M223" s="385"/>
      <c r="N223" s="385"/>
      <c r="O223" s="385"/>
    </row>
    <row r="224" spans="2:15" ht="15" customHeight="1" x14ac:dyDescent="0.25">
      <c r="B224" s="386"/>
      <c r="C224" s="384"/>
      <c r="F224" s="385"/>
      <c r="G224" s="385"/>
      <c r="H224" s="385"/>
      <c r="I224" s="385"/>
      <c r="J224" s="385"/>
      <c r="K224" s="385"/>
      <c r="L224" s="385"/>
      <c r="M224" s="385"/>
      <c r="N224" s="385"/>
      <c r="O224" s="385"/>
    </row>
    <row r="225" spans="2:15" ht="15" customHeight="1" x14ac:dyDescent="0.25">
      <c r="B225" s="386"/>
      <c r="C225" s="384"/>
      <c r="F225" s="385"/>
      <c r="G225" s="385"/>
      <c r="H225" s="385"/>
      <c r="I225" s="385"/>
      <c r="J225" s="385"/>
      <c r="K225" s="385"/>
      <c r="L225" s="385"/>
      <c r="M225" s="385"/>
      <c r="N225" s="385"/>
      <c r="O225" s="385"/>
    </row>
    <row r="226" spans="2:15" ht="15" customHeight="1" x14ac:dyDescent="0.25">
      <c r="B226" s="386"/>
      <c r="C226" s="384"/>
      <c r="F226" s="385"/>
      <c r="G226" s="385"/>
      <c r="H226" s="385"/>
      <c r="I226" s="385"/>
      <c r="J226" s="385"/>
      <c r="K226" s="385"/>
      <c r="L226" s="385"/>
      <c r="M226" s="385"/>
      <c r="N226" s="385"/>
      <c r="O226" s="385"/>
    </row>
    <row r="227" spans="2:15" ht="15" customHeight="1" x14ac:dyDescent="0.25">
      <c r="B227" s="386"/>
      <c r="C227" s="384"/>
      <c r="F227" s="385"/>
      <c r="G227" s="385"/>
      <c r="H227" s="385"/>
      <c r="I227" s="385"/>
      <c r="J227" s="385"/>
      <c r="K227" s="385"/>
      <c r="L227" s="385"/>
      <c r="M227" s="385"/>
      <c r="N227" s="385"/>
      <c r="O227" s="385"/>
    </row>
    <row r="228" spans="2:15" ht="15" customHeight="1" x14ac:dyDescent="0.25">
      <c r="B228" s="389"/>
      <c r="C228" s="384"/>
      <c r="F228" s="385"/>
      <c r="G228" s="385"/>
      <c r="H228" s="385"/>
      <c r="I228" s="385"/>
      <c r="J228" s="385"/>
      <c r="K228" s="385"/>
      <c r="L228" s="385"/>
      <c r="M228" s="385"/>
      <c r="N228" s="385"/>
      <c r="O228" s="385"/>
    </row>
    <row r="229" spans="2:15" ht="15" customHeight="1" x14ac:dyDescent="0.25">
      <c r="C229" s="384"/>
      <c r="F229" s="385"/>
      <c r="G229" s="385"/>
      <c r="H229" s="385"/>
      <c r="I229" s="385"/>
      <c r="J229" s="385"/>
      <c r="K229" s="385"/>
      <c r="L229" s="385"/>
      <c r="M229" s="385"/>
      <c r="N229" s="385"/>
      <c r="O229" s="385"/>
    </row>
    <row r="230" spans="2:15" ht="15" customHeight="1" x14ac:dyDescent="0.25">
      <c r="B230" s="389"/>
      <c r="C230" s="384"/>
      <c r="F230" s="385"/>
      <c r="G230" s="385"/>
      <c r="H230" s="385"/>
      <c r="I230" s="385"/>
      <c r="J230" s="385"/>
      <c r="K230" s="385"/>
      <c r="L230" s="385"/>
      <c r="M230" s="385"/>
      <c r="N230" s="385"/>
      <c r="O230" s="385"/>
    </row>
    <row r="231" spans="2:15" ht="15" customHeight="1" x14ac:dyDescent="0.25">
      <c r="C231" s="384"/>
      <c r="F231" s="385"/>
      <c r="G231" s="385"/>
      <c r="H231" s="385"/>
      <c r="I231" s="385"/>
      <c r="J231" s="385"/>
      <c r="K231" s="385"/>
      <c r="L231" s="385"/>
      <c r="M231" s="385"/>
      <c r="N231" s="385"/>
      <c r="O231" s="385"/>
    </row>
    <row r="232" spans="2:15" ht="15" customHeight="1" x14ac:dyDescent="0.25">
      <c r="B232" s="386"/>
      <c r="C232" s="384"/>
      <c r="F232" s="385"/>
      <c r="G232" s="385"/>
      <c r="H232" s="385"/>
      <c r="I232" s="385"/>
      <c r="J232" s="385"/>
      <c r="K232" s="385"/>
      <c r="L232" s="385"/>
      <c r="M232" s="385"/>
      <c r="N232" s="385"/>
      <c r="O232" s="385"/>
    </row>
    <row r="233" spans="2:15" ht="15" customHeight="1" x14ac:dyDescent="0.25">
      <c r="B233" s="386"/>
      <c r="C233" s="384"/>
      <c r="F233" s="385"/>
      <c r="G233" s="385"/>
      <c r="H233" s="385"/>
      <c r="I233" s="385"/>
      <c r="J233" s="385"/>
      <c r="K233" s="385"/>
      <c r="L233" s="385"/>
      <c r="M233" s="385"/>
      <c r="N233" s="385"/>
      <c r="O233" s="385"/>
    </row>
    <row r="234" spans="2:15" ht="15" customHeight="1" x14ac:dyDescent="0.25">
      <c r="B234" s="386"/>
      <c r="C234" s="384"/>
      <c r="F234" s="385"/>
      <c r="G234" s="385"/>
      <c r="H234" s="385"/>
      <c r="I234" s="385"/>
      <c r="J234" s="385"/>
      <c r="K234" s="385"/>
      <c r="L234" s="385"/>
      <c r="M234" s="385"/>
      <c r="N234" s="385"/>
      <c r="O234" s="385"/>
    </row>
    <row r="235" spans="2:15" ht="15" customHeight="1" x14ac:dyDescent="0.25">
      <c r="B235" s="389"/>
      <c r="C235" s="384"/>
      <c r="F235" s="385"/>
      <c r="G235" s="385"/>
      <c r="H235" s="385"/>
      <c r="I235" s="385"/>
      <c r="J235" s="385"/>
      <c r="K235" s="385"/>
      <c r="L235" s="385"/>
      <c r="M235" s="385"/>
      <c r="N235" s="385"/>
      <c r="O235" s="385"/>
    </row>
    <row r="236" spans="2:15" ht="15" customHeight="1" x14ac:dyDescent="0.25">
      <c r="C236" s="384"/>
      <c r="F236" s="385"/>
      <c r="G236" s="385"/>
      <c r="H236" s="385"/>
      <c r="I236" s="385"/>
      <c r="J236" s="385"/>
      <c r="K236" s="385"/>
      <c r="L236" s="385"/>
      <c r="M236" s="385"/>
      <c r="N236" s="385"/>
      <c r="O236" s="385"/>
    </row>
    <row r="237" spans="2:15" ht="15" customHeight="1" x14ac:dyDescent="0.25">
      <c r="B237" s="386"/>
      <c r="C237" s="384"/>
      <c r="F237" s="385"/>
      <c r="G237" s="385"/>
      <c r="H237" s="385"/>
      <c r="I237" s="385"/>
      <c r="J237" s="385"/>
      <c r="K237" s="385"/>
      <c r="L237" s="385"/>
      <c r="M237" s="385"/>
      <c r="N237" s="385"/>
      <c r="O237" s="385"/>
    </row>
    <row r="238" spans="2:15" ht="15" customHeight="1" x14ac:dyDescent="0.25">
      <c r="B238" s="386"/>
      <c r="C238" s="384"/>
      <c r="F238" s="385"/>
      <c r="G238" s="385"/>
      <c r="H238" s="385"/>
      <c r="I238" s="385"/>
      <c r="J238" s="385"/>
      <c r="K238" s="385"/>
      <c r="L238" s="385"/>
      <c r="M238" s="385"/>
      <c r="N238" s="385"/>
      <c r="O238" s="385"/>
    </row>
    <row r="239" spans="2:15" ht="15" customHeight="1" x14ac:dyDescent="0.25">
      <c r="B239" s="389"/>
      <c r="C239" s="384"/>
      <c r="F239" s="385"/>
      <c r="G239" s="385"/>
      <c r="H239" s="385"/>
      <c r="I239" s="385"/>
      <c r="J239" s="385"/>
      <c r="K239" s="385"/>
      <c r="L239" s="385"/>
      <c r="M239" s="385"/>
      <c r="N239" s="385"/>
      <c r="O239" s="385"/>
    </row>
    <row r="240" spans="2:15" ht="15" customHeight="1" x14ac:dyDescent="0.25">
      <c r="C240" s="384"/>
      <c r="F240" s="385"/>
      <c r="G240" s="385"/>
      <c r="H240" s="385"/>
      <c r="I240" s="385"/>
      <c r="J240" s="385"/>
      <c r="K240" s="385"/>
      <c r="L240" s="385"/>
      <c r="M240" s="385"/>
      <c r="N240" s="385"/>
      <c r="O240" s="385"/>
    </row>
    <row r="241" spans="1:15" ht="15" customHeight="1" x14ac:dyDescent="0.25">
      <c r="B241" s="388"/>
      <c r="C241" s="390"/>
      <c r="F241" s="385"/>
      <c r="G241" s="385"/>
      <c r="H241" s="385"/>
      <c r="I241" s="385"/>
      <c r="J241" s="385"/>
      <c r="K241" s="385"/>
      <c r="L241" s="385"/>
      <c r="M241" s="385"/>
      <c r="N241" s="385"/>
      <c r="O241" s="385"/>
    </row>
    <row r="242" spans="1:15" ht="15" customHeight="1" x14ac:dyDescent="0.25">
      <c r="B242" s="389"/>
      <c r="C242" s="384"/>
      <c r="F242" s="385"/>
      <c r="G242" s="385"/>
      <c r="H242" s="385"/>
      <c r="I242" s="385"/>
      <c r="J242" s="385"/>
      <c r="K242" s="385"/>
      <c r="L242" s="385"/>
      <c r="M242" s="385"/>
      <c r="N242" s="385"/>
      <c r="O242" s="385"/>
    </row>
    <row r="243" spans="1:15" ht="15" customHeight="1" x14ac:dyDescent="0.25">
      <c r="B243" s="389"/>
      <c r="C243" s="384"/>
      <c r="F243" s="385"/>
      <c r="G243" s="385"/>
      <c r="H243" s="385"/>
      <c r="I243" s="385"/>
      <c r="J243" s="385"/>
      <c r="K243" s="385"/>
      <c r="L243" s="385"/>
      <c r="M243" s="385"/>
      <c r="N243" s="385"/>
      <c r="O243" s="385"/>
    </row>
    <row r="244" spans="1:15" ht="15" customHeight="1" x14ac:dyDescent="0.25">
      <c r="C244" s="390"/>
      <c r="F244" s="385"/>
      <c r="G244" s="385"/>
      <c r="H244" s="385"/>
      <c r="I244" s="385"/>
      <c r="J244" s="385"/>
      <c r="K244" s="385"/>
      <c r="L244" s="385"/>
      <c r="M244" s="385"/>
      <c r="N244" s="385"/>
      <c r="O244" s="385"/>
    </row>
    <row r="245" spans="1:15" ht="15" customHeight="1" x14ac:dyDescent="0.25">
      <c r="F245" s="385"/>
      <c r="G245" s="385"/>
      <c r="H245" s="385"/>
      <c r="I245" s="385"/>
      <c r="J245" s="385"/>
      <c r="K245" s="385"/>
      <c r="L245" s="385"/>
      <c r="M245" s="385"/>
      <c r="N245" s="385"/>
      <c r="O245" s="385"/>
    </row>
    <row r="246" spans="1:15" ht="15" customHeight="1" x14ac:dyDescent="0.25">
      <c r="M246" s="391"/>
      <c r="N246" s="391"/>
      <c r="O246" s="391"/>
    </row>
    <row r="247" spans="1:15" ht="15" customHeight="1" x14ac:dyDescent="0.25"/>
    <row r="248" spans="1:15" ht="15" customHeight="1" x14ac:dyDescent="0.25"/>
    <row r="249" spans="1:15" ht="15" customHeight="1" x14ac:dyDescent="0.25">
      <c r="A249" s="381"/>
      <c r="C249" s="381"/>
      <c r="D249" s="382"/>
    </row>
    <row r="250" spans="1:15" ht="15" customHeight="1" x14ac:dyDescent="0.25">
      <c r="B250" s="386"/>
      <c r="C250" s="384"/>
      <c r="D250" s="380"/>
      <c r="F250" s="385"/>
      <c r="G250" s="385"/>
      <c r="H250" s="385"/>
      <c r="I250" s="385"/>
      <c r="J250" s="385"/>
      <c r="K250" s="385"/>
      <c r="L250" s="385"/>
      <c r="M250" s="385"/>
      <c r="N250" s="385"/>
      <c r="O250" s="385"/>
    </row>
    <row r="251" spans="1:15" ht="15" customHeight="1" x14ac:dyDescent="0.25">
      <c r="B251" s="386"/>
      <c r="C251" s="384"/>
      <c r="D251" s="380"/>
      <c r="E251" s="380"/>
      <c r="F251" s="387"/>
      <c r="G251" s="387"/>
      <c r="H251" s="387"/>
      <c r="I251" s="387"/>
      <c r="J251" s="387"/>
      <c r="K251" s="387"/>
      <c r="L251" s="387"/>
      <c r="M251" s="387"/>
      <c r="N251" s="387"/>
      <c r="O251" s="387"/>
    </row>
    <row r="252" spans="1:15" ht="15" customHeight="1" x14ac:dyDescent="0.25">
      <c r="B252" s="386"/>
      <c r="C252" s="384"/>
      <c r="F252" s="385"/>
      <c r="G252" s="385"/>
      <c r="H252" s="385"/>
      <c r="I252" s="385"/>
      <c r="J252" s="385"/>
      <c r="K252" s="385"/>
      <c r="L252" s="385"/>
      <c r="M252" s="385"/>
      <c r="N252" s="385"/>
      <c r="O252" s="385"/>
    </row>
    <row r="253" spans="1:15" ht="15" customHeight="1" x14ac:dyDescent="0.25">
      <c r="B253" s="386"/>
      <c r="C253" s="384"/>
      <c r="F253" s="385"/>
      <c r="G253" s="385"/>
      <c r="H253" s="385"/>
      <c r="I253" s="385"/>
      <c r="J253" s="385"/>
      <c r="K253" s="385"/>
      <c r="L253" s="385"/>
      <c r="M253" s="385"/>
      <c r="N253" s="385"/>
      <c r="O253" s="385"/>
    </row>
    <row r="254" spans="1:15" ht="15" customHeight="1" x14ac:dyDescent="0.25">
      <c r="B254" s="386"/>
      <c r="C254" s="384"/>
      <c r="F254" s="385"/>
      <c r="G254" s="385"/>
      <c r="H254" s="385"/>
      <c r="I254" s="385"/>
      <c r="J254" s="385"/>
      <c r="K254" s="385"/>
      <c r="L254" s="385"/>
      <c r="M254" s="385"/>
      <c r="N254" s="385"/>
      <c r="O254" s="385"/>
    </row>
    <row r="255" spans="1:15" ht="15" customHeight="1" x14ac:dyDescent="0.25">
      <c r="B255" s="386"/>
      <c r="C255" s="384"/>
      <c r="F255" s="385"/>
      <c r="G255" s="385"/>
      <c r="H255" s="385"/>
      <c r="I255" s="385"/>
      <c r="J255" s="385"/>
      <c r="K255" s="385"/>
      <c r="L255" s="385"/>
      <c r="M255" s="385"/>
      <c r="N255" s="385"/>
      <c r="O255" s="385"/>
    </row>
    <row r="256" spans="1:15" ht="15" customHeight="1" x14ac:dyDescent="0.25">
      <c r="B256" s="388"/>
      <c r="C256" s="384"/>
      <c r="F256" s="385"/>
      <c r="G256" s="385"/>
      <c r="H256" s="385"/>
      <c r="I256" s="385"/>
      <c r="J256" s="385"/>
      <c r="K256" s="385"/>
      <c r="L256" s="385"/>
      <c r="M256" s="385"/>
      <c r="N256" s="385"/>
      <c r="O256" s="385"/>
    </row>
    <row r="257" spans="2:15" ht="15" customHeight="1" x14ac:dyDescent="0.25">
      <c r="C257" s="384"/>
      <c r="F257" s="385"/>
      <c r="G257" s="385"/>
      <c r="H257" s="385"/>
      <c r="I257" s="385"/>
      <c r="J257" s="385"/>
      <c r="K257" s="385"/>
      <c r="L257" s="385"/>
      <c r="M257" s="385"/>
      <c r="N257" s="385"/>
      <c r="O257" s="385"/>
    </row>
    <row r="258" spans="2:15" ht="15" customHeight="1" x14ac:dyDescent="0.25">
      <c r="B258" s="386"/>
      <c r="C258" s="384"/>
      <c r="F258" s="385"/>
      <c r="G258" s="385"/>
      <c r="H258" s="385"/>
      <c r="I258" s="385"/>
      <c r="J258" s="385"/>
      <c r="K258" s="385"/>
      <c r="L258" s="385"/>
      <c r="M258" s="385"/>
      <c r="N258" s="385"/>
      <c r="O258" s="385"/>
    </row>
    <row r="259" spans="2:15" ht="15" customHeight="1" x14ac:dyDescent="0.25">
      <c r="B259" s="386"/>
      <c r="C259" s="384"/>
      <c r="F259" s="385"/>
      <c r="G259" s="385"/>
      <c r="H259" s="385"/>
      <c r="I259" s="385"/>
      <c r="J259" s="385"/>
      <c r="K259" s="385"/>
      <c r="L259" s="385"/>
      <c r="M259" s="385"/>
      <c r="N259" s="385"/>
      <c r="O259" s="385"/>
    </row>
    <row r="260" spans="2:15" ht="15" customHeight="1" x14ac:dyDescent="0.25">
      <c r="B260" s="386"/>
      <c r="C260" s="384"/>
      <c r="F260" s="385"/>
      <c r="G260" s="385"/>
      <c r="H260" s="385"/>
      <c r="I260" s="385"/>
      <c r="J260" s="385"/>
      <c r="K260" s="385"/>
      <c r="L260" s="385"/>
      <c r="M260" s="385"/>
      <c r="N260" s="385"/>
      <c r="O260" s="385"/>
    </row>
    <row r="261" spans="2:15" ht="15" customHeight="1" x14ac:dyDescent="0.25">
      <c r="B261" s="386"/>
      <c r="C261" s="384"/>
      <c r="F261" s="385"/>
      <c r="G261" s="385"/>
      <c r="H261" s="385"/>
      <c r="I261" s="385"/>
      <c r="J261" s="385"/>
      <c r="K261" s="385"/>
      <c r="L261" s="385"/>
      <c r="M261" s="385"/>
      <c r="N261" s="385"/>
      <c r="O261" s="385"/>
    </row>
    <row r="262" spans="2:15" ht="15" customHeight="1" x14ac:dyDescent="0.25">
      <c r="C262" s="384"/>
      <c r="F262" s="385"/>
      <c r="G262" s="385"/>
      <c r="H262" s="385"/>
      <c r="I262" s="385"/>
      <c r="J262" s="385"/>
      <c r="K262" s="385"/>
      <c r="L262" s="385"/>
      <c r="M262" s="385"/>
      <c r="N262" s="385"/>
      <c r="O262" s="385"/>
    </row>
    <row r="263" spans="2:15" ht="15" customHeight="1" x14ac:dyDescent="0.25">
      <c r="B263" s="386"/>
      <c r="C263" s="384"/>
      <c r="F263" s="385"/>
      <c r="G263" s="385"/>
      <c r="H263" s="385"/>
      <c r="I263" s="385"/>
      <c r="J263" s="385"/>
      <c r="K263" s="385"/>
      <c r="L263" s="385"/>
      <c r="M263" s="385"/>
      <c r="N263" s="385"/>
      <c r="O263" s="385"/>
    </row>
    <row r="264" spans="2:15" ht="15" customHeight="1" x14ac:dyDescent="0.25">
      <c r="B264" s="386"/>
      <c r="C264" s="384"/>
      <c r="F264" s="385"/>
      <c r="G264" s="385"/>
      <c r="H264" s="385"/>
      <c r="I264" s="385"/>
      <c r="J264" s="385"/>
      <c r="K264" s="385"/>
      <c r="L264" s="385"/>
      <c r="M264" s="385"/>
      <c r="N264" s="385"/>
      <c r="O264" s="385"/>
    </row>
    <row r="265" spans="2:15" ht="15" customHeight="1" x14ac:dyDescent="0.25">
      <c r="B265" s="386"/>
      <c r="C265" s="384"/>
      <c r="F265" s="385"/>
      <c r="G265" s="385"/>
      <c r="H265" s="385"/>
      <c r="I265" s="385"/>
      <c r="J265" s="385"/>
      <c r="K265" s="385"/>
      <c r="L265" s="385"/>
      <c r="M265" s="385"/>
      <c r="N265" s="385"/>
      <c r="O265" s="385"/>
    </row>
    <row r="266" spans="2:15" ht="15" customHeight="1" x14ac:dyDescent="0.25">
      <c r="B266" s="388"/>
      <c r="C266" s="384"/>
      <c r="F266" s="385"/>
      <c r="G266" s="385"/>
      <c r="H266" s="385"/>
      <c r="I266" s="385"/>
      <c r="J266" s="385"/>
      <c r="K266" s="385"/>
      <c r="L266" s="385"/>
      <c r="M266" s="385"/>
      <c r="N266" s="385"/>
      <c r="O266" s="385"/>
    </row>
    <row r="267" spans="2:15" ht="15" customHeight="1" x14ac:dyDescent="0.25">
      <c r="B267" s="386"/>
      <c r="C267" s="384"/>
      <c r="F267" s="385"/>
      <c r="G267" s="385"/>
      <c r="H267" s="385"/>
      <c r="I267" s="385"/>
      <c r="J267" s="385"/>
      <c r="K267" s="385"/>
      <c r="L267" s="385"/>
      <c r="M267" s="385"/>
      <c r="N267" s="385"/>
      <c r="O267" s="385"/>
    </row>
    <row r="268" spans="2:15" ht="15" customHeight="1" x14ac:dyDescent="0.25">
      <c r="B268" s="386"/>
      <c r="C268" s="384"/>
      <c r="F268" s="385"/>
      <c r="G268" s="385"/>
      <c r="H268" s="385"/>
      <c r="I268" s="385"/>
      <c r="J268" s="385"/>
      <c r="K268" s="385"/>
      <c r="L268" s="385"/>
      <c r="M268" s="385"/>
      <c r="N268" s="385"/>
      <c r="O268" s="385"/>
    </row>
    <row r="269" spans="2:15" ht="15" customHeight="1" x14ac:dyDescent="0.25">
      <c r="B269" s="386"/>
      <c r="C269" s="384"/>
      <c r="F269" s="385"/>
      <c r="G269" s="385"/>
      <c r="H269" s="385"/>
      <c r="I269" s="385"/>
      <c r="J269" s="385"/>
      <c r="K269" s="385"/>
      <c r="L269" s="385"/>
      <c r="M269" s="385"/>
      <c r="N269" s="385"/>
      <c r="O269" s="385"/>
    </row>
    <row r="270" spans="2:15" ht="15" customHeight="1" x14ac:dyDescent="0.25">
      <c r="B270" s="386"/>
      <c r="C270" s="384"/>
      <c r="F270" s="385"/>
      <c r="G270" s="385"/>
      <c r="H270" s="385"/>
      <c r="I270" s="385"/>
      <c r="J270" s="385"/>
      <c r="K270" s="385"/>
      <c r="L270" s="385"/>
      <c r="M270" s="385"/>
      <c r="N270" s="385"/>
      <c r="O270" s="385"/>
    </row>
    <row r="271" spans="2:15" ht="15" customHeight="1" x14ac:dyDescent="0.25">
      <c r="B271" s="386"/>
      <c r="C271" s="384"/>
      <c r="F271" s="385"/>
      <c r="G271" s="385"/>
      <c r="H271" s="385"/>
      <c r="I271" s="385"/>
      <c r="J271" s="385"/>
      <c r="K271" s="385"/>
      <c r="L271" s="385"/>
      <c r="M271" s="385"/>
      <c r="N271" s="385"/>
      <c r="O271" s="385"/>
    </row>
    <row r="272" spans="2:15" ht="15" customHeight="1" x14ac:dyDescent="0.25">
      <c r="B272" s="386"/>
      <c r="C272" s="384"/>
      <c r="F272" s="385"/>
      <c r="G272" s="385"/>
      <c r="H272" s="385"/>
      <c r="I272" s="385"/>
      <c r="J272" s="385"/>
      <c r="K272" s="385"/>
      <c r="L272" s="385"/>
      <c r="M272" s="385"/>
      <c r="N272" s="385"/>
      <c r="O272" s="385"/>
    </row>
    <row r="273" spans="2:15" ht="15" customHeight="1" x14ac:dyDescent="0.25">
      <c r="B273" s="386"/>
      <c r="C273" s="384"/>
      <c r="F273" s="385"/>
      <c r="G273" s="385"/>
      <c r="H273" s="385"/>
      <c r="I273" s="385"/>
      <c r="J273" s="385"/>
      <c r="K273" s="385"/>
      <c r="L273" s="385"/>
      <c r="M273" s="385"/>
      <c r="N273" s="385"/>
      <c r="O273" s="385"/>
    </row>
    <row r="274" spans="2:15" ht="15" customHeight="1" x14ac:dyDescent="0.25">
      <c r="B274" s="386"/>
      <c r="C274" s="384"/>
      <c r="F274" s="385"/>
      <c r="G274" s="385"/>
      <c r="H274" s="385"/>
      <c r="I274" s="385"/>
      <c r="J274" s="385"/>
      <c r="K274" s="385"/>
      <c r="L274" s="385"/>
      <c r="M274" s="385"/>
      <c r="N274" s="385"/>
      <c r="O274" s="385"/>
    </row>
    <row r="275" spans="2:15" ht="15" customHeight="1" x14ac:dyDescent="0.25">
      <c r="B275" s="389"/>
      <c r="C275" s="384"/>
      <c r="F275" s="385"/>
      <c r="G275" s="385"/>
      <c r="H275" s="385"/>
      <c r="I275" s="385"/>
      <c r="J275" s="385"/>
      <c r="K275" s="385"/>
      <c r="L275" s="385"/>
      <c r="M275" s="385"/>
      <c r="N275" s="385"/>
      <c r="O275" s="385"/>
    </row>
    <row r="276" spans="2:15" ht="15" customHeight="1" x14ac:dyDescent="0.25">
      <c r="C276" s="384"/>
      <c r="F276" s="385"/>
      <c r="G276" s="385"/>
      <c r="H276" s="385"/>
      <c r="I276" s="385"/>
      <c r="J276" s="385"/>
      <c r="K276" s="385"/>
      <c r="L276" s="385"/>
      <c r="M276" s="385"/>
      <c r="N276" s="385"/>
      <c r="O276" s="385"/>
    </row>
    <row r="277" spans="2:15" ht="15" customHeight="1" x14ac:dyDescent="0.25">
      <c r="B277" s="389"/>
      <c r="C277" s="384"/>
      <c r="F277" s="385"/>
      <c r="G277" s="385"/>
      <c r="H277" s="385"/>
      <c r="I277" s="385"/>
      <c r="J277" s="385"/>
      <c r="K277" s="385"/>
      <c r="L277" s="385"/>
      <c r="M277" s="385"/>
      <c r="N277" s="385"/>
      <c r="O277" s="385"/>
    </row>
    <row r="278" spans="2:15" ht="15" customHeight="1" x14ac:dyDescent="0.25">
      <c r="C278" s="384"/>
      <c r="F278" s="385"/>
      <c r="G278" s="385"/>
      <c r="H278" s="385"/>
      <c r="I278" s="385"/>
      <c r="J278" s="385"/>
      <c r="K278" s="385"/>
      <c r="L278" s="385"/>
      <c r="M278" s="385"/>
      <c r="N278" s="385"/>
      <c r="O278" s="385"/>
    </row>
    <row r="279" spans="2:15" ht="15" customHeight="1" x14ac:dyDescent="0.25">
      <c r="B279" s="386"/>
      <c r="C279" s="384"/>
      <c r="F279" s="385"/>
      <c r="G279" s="385"/>
      <c r="H279" s="385"/>
      <c r="I279" s="385"/>
      <c r="J279" s="385"/>
      <c r="K279" s="385"/>
      <c r="L279" s="385"/>
      <c r="M279" s="385"/>
      <c r="N279" s="385"/>
      <c r="O279" s="385"/>
    </row>
    <row r="280" spans="2:15" ht="15" customHeight="1" x14ac:dyDescent="0.25">
      <c r="B280" s="386"/>
      <c r="C280" s="384"/>
      <c r="F280" s="385"/>
      <c r="G280" s="385"/>
      <c r="H280" s="385"/>
      <c r="I280" s="385"/>
      <c r="J280" s="385"/>
      <c r="K280" s="385"/>
      <c r="L280" s="385"/>
      <c r="M280" s="385"/>
      <c r="N280" s="385"/>
      <c r="O280" s="385"/>
    </row>
    <row r="281" spans="2:15" ht="15" customHeight="1" x14ac:dyDescent="0.25">
      <c r="B281" s="386"/>
      <c r="C281" s="384"/>
      <c r="F281" s="385"/>
      <c r="G281" s="385"/>
      <c r="H281" s="385"/>
      <c r="I281" s="385"/>
      <c r="J281" s="385"/>
      <c r="K281" s="385"/>
      <c r="L281" s="385"/>
      <c r="M281" s="385"/>
      <c r="N281" s="385"/>
      <c r="O281" s="385"/>
    </row>
    <row r="282" spans="2:15" ht="15" customHeight="1" x14ac:dyDescent="0.25">
      <c r="B282" s="389"/>
      <c r="C282" s="384"/>
      <c r="F282" s="385"/>
      <c r="G282" s="385"/>
      <c r="H282" s="385"/>
      <c r="I282" s="385"/>
      <c r="J282" s="385"/>
      <c r="K282" s="385"/>
      <c r="L282" s="385"/>
      <c r="M282" s="385"/>
      <c r="N282" s="385"/>
      <c r="O282" s="385"/>
    </row>
    <row r="283" spans="2:15" ht="15" customHeight="1" x14ac:dyDescent="0.25">
      <c r="C283" s="384"/>
      <c r="F283" s="385"/>
      <c r="G283" s="385"/>
      <c r="H283" s="385"/>
      <c r="I283" s="385"/>
      <c r="J283" s="385"/>
      <c r="K283" s="385"/>
      <c r="L283" s="385"/>
      <c r="M283" s="385"/>
      <c r="N283" s="385"/>
      <c r="O283" s="385"/>
    </row>
    <row r="284" spans="2:15" ht="15" customHeight="1" x14ac:dyDescent="0.25">
      <c r="B284" s="386"/>
      <c r="C284" s="384"/>
      <c r="F284" s="385"/>
      <c r="G284" s="385"/>
      <c r="H284" s="385"/>
      <c r="I284" s="385"/>
      <c r="J284" s="385"/>
      <c r="K284" s="385"/>
      <c r="L284" s="385"/>
      <c r="M284" s="385"/>
      <c r="N284" s="385"/>
      <c r="O284" s="385"/>
    </row>
    <row r="285" spans="2:15" ht="15" customHeight="1" x14ac:dyDescent="0.25">
      <c r="B285" s="386"/>
      <c r="C285" s="384"/>
      <c r="F285" s="385"/>
      <c r="G285" s="385"/>
      <c r="H285" s="385"/>
      <c r="I285" s="385"/>
      <c r="J285" s="385"/>
      <c r="K285" s="385"/>
      <c r="L285" s="385"/>
      <c r="M285" s="385"/>
      <c r="N285" s="385"/>
      <c r="O285" s="385"/>
    </row>
    <row r="286" spans="2:15" ht="15" customHeight="1" x14ac:dyDescent="0.25">
      <c r="B286" s="389"/>
      <c r="C286" s="384"/>
      <c r="F286" s="385"/>
      <c r="G286" s="385"/>
      <c r="H286" s="385"/>
      <c r="I286" s="385"/>
      <c r="J286" s="385"/>
      <c r="K286" s="385"/>
      <c r="L286" s="385"/>
      <c r="M286" s="385"/>
      <c r="N286" s="385"/>
      <c r="O286" s="385"/>
    </row>
    <row r="287" spans="2:15" ht="15" customHeight="1" x14ac:dyDescent="0.25">
      <c r="C287" s="384"/>
      <c r="F287" s="385"/>
      <c r="G287" s="385"/>
      <c r="H287" s="385"/>
      <c r="I287" s="385"/>
      <c r="J287" s="385"/>
      <c r="K287" s="385"/>
      <c r="L287" s="385"/>
      <c r="M287" s="385"/>
      <c r="N287" s="385"/>
      <c r="O287" s="385"/>
    </row>
    <row r="288" spans="2:15" ht="15" customHeight="1" x14ac:dyDescent="0.25">
      <c r="B288" s="388"/>
      <c r="C288" s="390"/>
      <c r="F288" s="385"/>
      <c r="G288" s="385"/>
      <c r="H288" s="385"/>
      <c r="I288" s="385"/>
      <c r="J288" s="385"/>
      <c r="K288" s="385"/>
      <c r="L288" s="385"/>
      <c r="M288" s="385"/>
      <c r="N288" s="385"/>
      <c r="O288" s="385"/>
    </row>
    <row r="289" spans="2:16" ht="15" customHeight="1" x14ac:dyDescent="0.25">
      <c r="B289" s="389"/>
      <c r="C289" s="384"/>
      <c r="F289" s="385"/>
      <c r="G289" s="385"/>
      <c r="H289" s="385"/>
      <c r="I289" s="385"/>
      <c r="J289" s="385"/>
      <c r="K289" s="385"/>
      <c r="L289" s="385"/>
      <c r="M289" s="385"/>
      <c r="N289" s="385"/>
      <c r="O289" s="385"/>
    </row>
    <row r="290" spans="2:16" ht="15" customHeight="1" x14ac:dyDescent="0.25">
      <c r="B290" s="389"/>
      <c r="C290" s="384"/>
      <c r="F290" s="385"/>
      <c r="G290" s="385"/>
      <c r="H290" s="385"/>
      <c r="I290" s="385"/>
      <c r="J290" s="385"/>
      <c r="K290" s="385"/>
      <c r="L290" s="385"/>
      <c r="M290" s="385"/>
      <c r="N290" s="385"/>
      <c r="O290" s="385"/>
    </row>
    <row r="291" spans="2:16" ht="15" customHeight="1" x14ac:dyDescent="0.25">
      <c r="C291" s="390"/>
      <c r="F291" s="385"/>
      <c r="G291" s="385"/>
      <c r="H291" s="385"/>
      <c r="I291" s="385"/>
      <c r="J291" s="385"/>
      <c r="K291" s="385"/>
      <c r="L291" s="385"/>
      <c r="M291" s="385"/>
      <c r="N291" s="385"/>
      <c r="O291" s="385"/>
    </row>
    <row r="292" spans="2:16" ht="15" customHeight="1" x14ac:dyDescent="0.25">
      <c r="F292" s="385"/>
      <c r="G292" s="385"/>
      <c r="H292" s="385"/>
      <c r="I292" s="385"/>
      <c r="J292" s="385"/>
      <c r="K292" s="385"/>
      <c r="L292" s="385"/>
      <c r="M292" s="385"/>
      <c r="N292" s="385"/>
      <c r="O292" s="385"/>
    </row>
    <row r="293" spans="2:16" ht="15" customHeight="1" x14ac:dyDescent="0.25">
      <c r="M293" s="391"/>
      <c r="N293" s="391"/>
      <c r="O293" s="391"/>
      <c r="P293" s="392"/>
    </row>
    <row r="294" spans="2:16" ht="15" customHeight="1" x14ac:dyDescent="0.25">
      <c r="M294" s="391"/>
      <c r="N294" s="391"/>
      <c r="O294" s="391"/>
      <c r="P294" s="392"/>
    </row>
    <row r="295" spans="2:16" ht="15" customHeight="1" x14ac:dyDescent="0.25">
      <c r="M295" s="391"/>
      <c r="N295" s="391"/>
      <c r="O295" s="391"/>
      <c r="P295" s="392"/>
    </row>
    <row r="296" spans="2:16" ht="15" customHeight="1" x14ac:dyDescent="0.25">
      <c r="M296" s="391"/>
      <c r="N296" s="391"/>
      <c r="O296" s="391"/>
      <c r="P296" s="392"/>
    </row>
    <row r="297" spans="2:16" ht="15" customHeight="1" x14ac:dyDescent="0.25">
      <c r="M297" s="391"/>
      <c r="N297" s="391"/>
      <c r="O297" s="391"/>
      <c r="P297" s="392"/>
    </row>
    <row r="298" spans="2:16" ht="15" customHeight="1" x14ac:dyDescent="0.25">
      <c r="M298" s="391"/>
      <c r="N298" s="391"/>
      <c r="O298" s="391"/>
    </row>
    <row r="299" spans="2:16" ht="15" customHeight="1" x14ac:dyDescent="0.25"/>
    <row r="300" spans="2:16" ht="15" customHeight="1" x14ac:dyDescent="0.25"/>
    <row r="301" spans="2:16" ht="15" customHeight="1" x14ac:dyDescent="0.25"/>
    <row r="302" spans="2:16" ht="15" customHeight="1" x14ac:dyDescent="0.25"/>
    <row r="303" spans="2:16" ht="15" customHeight="1" x14ac:dyDescent="0.25"/>
    <row r="304" spans="2:16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</sheetData>
  <protectedRanges>
    <protectedRange sqref="K12:L32" name="Range1_1"/>
  </protectedRanges>
  <mergeCells count="11">
    <mergeCell ref="A12:D12"/>
    <mergeCell ref="F12:G12"/>
    <mergeCell ref="A4:G4"/>
    <mergeCell ref="A5:G5"/>
    <mergeCell ref="A6:G6"/>
    <mergeCell ref="A8:A9"/>
    <mergeCell ref="B8:B9"/>
    <mergeCell ref="C8:C9"/>
    <mergeCell ref="D8:D9"/>
    <mergeCell ref="F8:F9"/>
    <mergeCell ref="G8:G9"/>
  </mergeCells>
  <pageMargins left="0.7" right="0.7" top="0.75" bottom="0.75" header="0.3" footer="0.3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C000"/>
    <pageSetUpPr fitToPage="1"/>
  </sheetPr>
  <dimension ref="B1:K37"/>
  <sheetViews>
    <sheetView view="pageBreakPreview" zoomScale="80" zoomScaleNormal="100" zoomScaleSheetLayoutView="80" workbookViewId="0">
      <selection activeCell="E41" sqref="E41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5.7109375" style="32" customWidth="1"/>
    <col min="6" max="6" width="15.28515625" style="32" customWidth="1"/>
    <col min="7" max="7" width="5" style="46" customWidth="1"/>
    <col min="8" max="8" width="11.7109375" style="32" bestFit="1" customWidth="1"/>
    <col min="9" max="9" width="15.42578125" style="32" bestFit="1" customWidth="1"/>
    <col min="10" max="10" width="12.7109375" style="32" bestFit="1" customWidth="1"/>
    <col min="11" max="11" width="10.7109375" style="32" bestFit="1" customWidth="1"/>
    <col min="12" max="16384" width="9.140625" style="32"/>
  </cols>
  <sheetData>
    <row r="1" spans="2:11" ht="13.9" x14ac:dyDescent="0.3">
      <c r="G1" s="32"/>
    </row>
    <row r="2" spans="2:11" x14ac:dyDescent="0.25">
      <c r="B2" s="601" t="s">
        <v>1805</v>
      </c>
      <c r="C2" s="411"/>
      <c r="D2" s="36"/>
      <c r="E2" s="36"/>
      <c r="F2" s="36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DG!C61</f>
        <v>Arhitectură (reabilitare termică)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843">
        <f>DG!E128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>SUM(E17:E22)</f>
        <v>#REF!</v>
      </c>
      <c r="F16" s="835" t="e">
        <f>SUM(F17:F22)</f>
        <v>#REF!</v>
      </c>
      <c r="G16" s="32"/>
      <c r="H16" s="28"/>
      <c r="I16" s="28"/>
    </row>
    <row r="17" spans="2:11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1">D17*$I$4</f>
        <v>#REF!</v>
      </c>
      <c r="F17" s="834" t="e">
        <f t="shared" ref="F17:F22" si="2">D17+E17</f>
        <v>#REF!</v>
      </c>
      <c r="G17" s="32"/>
      <c r="H17" s="28"/>
      <c r="I17" s="28"/>
    </row>
    <row r="18" spans="2:11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1"/>
        <v>#REF!</v>
      </c>
      <c r="F18" s="834" t="e">
        <f t="shared" si="2"/>
        <v>#REF!</v>
      </c>
      <c r="G18" s="32"/>
      <c r="H18" s="28"/>
      <c r="I18" s="28"/>
    </row>
    <row r="19" spans="2:11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1"/>
        <v>#REF!</v>
      </c>
      <c r="F19" s="834" t="e">
        <f t="shared" si="2"/>
        <v>#REF!</v>
      </c>
      <c r="G19" s="32"/>
      <c r="H19" s="28"/>
      <c r="I19" s="28"/>
    </row>
    <row r="20" spans="2:11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1"/>
        <v>#REF!</v>
      </c>
      <c r="F20" s="834" t="e">
        <f t="shared" si="2"/>
        <v>#REF!</v>
      </c>
      <c r="G20" s="32"/>
      <c r="H20" s="28"/>
      <c r="I20" s="28"/>
    </row>
    <row r="21" spans="2:11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1"/>
        <v>#REF!</v>
      </c>
      <c r="F21" s="834" t="e">
        <f t="shared" si="2"/>
        <v>#REF!</v>
      </c>
      <c r="G21" s="32"/>
      <c r="H21" s="28"/>
      <c r="I21" s="28"/>
    </row>
    <row r="22" spans="2:11" x14ac:dyDescent="0.25">
      <c r="B22" s="37" t="s">
        <v>1289</v>
      </c>
      <c r="C22" s="38" t="s">
        <v>352</v>
      </c>
      <c r="D22" s="429" t="e">
        <f>#REF!</f>
        <v>#REF!</v>
      </c>
      <c r="E22" s="430" t="e">
        <f t="shared" si="1"/>
        <v>#REF!</v>
      </c>
      <c r="F22" s="834" t="e">
        <f t="shared" si="2"/>
        <v>#REF!</v>
      </c>
      <c r="G22" s="32"/>
      <c r="H22" s="28"/>
      <c r="I22" s="28"/>
    </row>
    <row r="23" spans="2:11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11" ht="13.9" x14ac:dyDescent="0.3">
      <c r="B24" s="37">
        <v>4.2</v>
      </c>
      <c r="C24" s="38" t="s">
        <v>1280</v>
      </c>
      <c r="D24" s="429" t="e">
        <f>D26*0.15</f>
        <v>#REF!</v>
      </c>
      <c r="E24" s="430" t="e">
        <f>D24*$I$4</f>
        <v>#REF!</v>
      </c>
      <c r="F24" s="834" t="e">
        <f>D24+E24</f>
        <v>#REF!</v>
      </c>
      <c r="G24" s="32"/>
      <c r="H24" s="28"/>
      <c r="I24" s="28"/>
    </row>
    <row r="25" spans="2:11" ht="13.9" x14ac:dyDescent="0.3">
      <c r="B25" s="1281" t="s">
        <v>1291</v>
      </c>
      <c r="C25" s="1282"/>
      <c r="D25" s="432" t="e">
        <f t="shared" ref="D25:F25" si="3">D24</f>
        <v>#REF!</v>
      </c>
      <c r="E25" s="432" t="e">
        <f t="shared" si="3"/>
        <v>#REF!</v>
      </c>
      <c r="F25" s="837" t="e">
        <f t="shared" si="3"/>
        <v>#REF!</v>
      </c>
      <c r="G25" s="32"/>
      <c r="H25" s="28"/>
      <c r="I25" s="28"/>
    </row>
    <row r="26" spans="2:11" ht="27.6" x14ac:dyDescent="0.3">
      <c r="B26" s="37">
        <v>4.3</v>
      </c>
      <c r="C26" s="38" t="s">
        <v>1281</v>
      </c>
      <c r="D26" s="430" t="e">
        <f>#REF!</f>
        <v>#REF!</v>
      </c>
      <c r="E26" s="430" t="e">
        <f>D26*$I$4</f>
        <v>#REF!</v>
      </c>
      <c r="F26" s="834" t="e">
        <f>D26+E26</f>
        <v>#REF!</v>
      </c>
      <c r="G26" s="32"/>
      <c r="H26" s="28"/>
      <c r="I26" s="28"/>
    </row>
    <row r="27" spans="2:11" ht="27.6" x14ac:dyDescent="0.3">
      <c r="B27" s="37">
        <v>4.4000000000000004</v>
      </c>
      <c r="C27" s="38" t="s">
        <v>1282</v>
      </c>
      <c r="D27" s="430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11" x14ac:dyDescent="0.25">
      <c r="B28" s="37">
        <v>4.5</v>
      </c>
      <c r="C28" s="38" t="s">
        <v>46</v>
      </c>
      <c r="D28" s="430">
        <f>'01-LD'!F17</f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11" ht="13.9" x14ac:dyDescent="0.3">
      <c r="B29" s="37">
        <v>4.5999999999999996</v>
      </c>
      <c r="C29" s="38" t="s">
        <v>48</v>
      </c>
      <c r="D29" s="430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11" ht="13.9" x14ac:dyDescent="0.3">
      <c r="B30" s="1281" t="s">
        <v>1292</v>
      </c>
      <c r="C30" s="1282"/>
      <c r="D30" s="433" t="e">
        <f>SUM(D26:D29)</f>
        <v>#REF!</v>
      </c>
      <c r="E30" s="433" t="e">
        <f>SUM(E26:E29)</f>
        <v>#REF!</v>
      </c>
      <c r="F30" s="838" t="e">
        <f>SUM(F26:F29)</f>
        <v>#REF!</v>
      </c>
      <c r="G30" s="32"/>
      <c r="H30" s="28"/>
      <c r="I30" s="28"/>
      <c r="J30" s="854"/>
      <c r="K30" s="854"/>
    </row>
    <row r="31" spans="2:11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  <c r="J31" s="855" t="e">
        <f>D31/1893.19/DG!E129</f>
        <v>#REF!</v>
      </c>
      <c r="K31" s="854" t="s">
        <v>3</v>
      </c>
    </row>
    <row r="32" spans="2:11" ht="13.9" x14ac:dyDescent="0.3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/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8">
    <mergeCell ref="B4:F5"/>
    <mergeCell ref="B8:B9"/>
    <mergeCell ref="C8:C9"/>
    <mergeCell ref="B31:C31"/>
    <mergeCell ref="B11:F11"/>
    <mergeCell ref="B23:C23"/>
    <mergeCell ref="B25:C25"/>
    <mergeCell ref="B30:C30"/>
  </mergeCells>
  <pageMargins left="0.7" right="0.7" top="0.75" bottom="0.75" header="0.3" footer="0.3"/>
  <pageSetup paperSize="9" scale="82" fitToHeight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C000"/>
    <pageSetUpPr fitToPage="1"/>
  </sheetPr>
  <dimension ref="B1:K37"/>
  <sheetViews>
    <sheetView view="pageBreakPreview" zoomScale="80" zoomScaleNormal="100" zoomScaleSheetLayoutView="80" workbookViewId="0">
      <selection activeCell="K21" sqref="K21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30" customHeight="1" x14ac:dyDescent="0.25">
      <c r="B2" s="1454" t="s">
        <v>1758</v>
      </c>
      <c r="C2" s="1454"/>
      <c r="D2" s="1454"/>
      <c r="E2" s="1454"/>
      <c r="F2" s="1454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DG!C67</f>
        <v>OBIECT 8 - Amenajare teren sportiv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3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>
        <f>0</f>
        <v>0</v>
      </c>
      <c r="E22" s="430">
        <f t="shared" si="2"/>
        <v>0</v>
      </c>
      <c r="F22" s="834">
        <f t="shared" si="3"/>
        <v>0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</row>
    <row r="32" spans="2:9" x14ac:dyDescent="0.25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 t="s">
        <v>1448</v>
      </c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9">
    <mergeCell ref="B25:C25"/>
    <mergeCell ref="B30:C30"/>
    <mergeCell ref="B31:C31"/>
    <mergeCell ref="B2:F2"/>
    <mergeCell ref="B4:F5"/>
    <mergeCell ref="B8:B9"/>
    <mergeCell ref="C8:C9"/>
    <mergeCell ref="B11:F11"/>
    <mergeCell ref="B23:C23"/>
  </mergeCells>
  <pageMargins left="0.7" right="0.7" top="0.75" bottom="0.75" header="0.3" footer="0.3"/>
  <pageSetup paperSize="9" scale="84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C000"/>
    <pageSetUpPr fitToPage="1"/>
  </sheetPr>
  <dimension ref="B1:K37"/>
  <sheetViews>
    <sheetView view="pageBreakPreview" zoomScale="80" zoomScaleNormal="100" zoomScaleSheetLayoutView="80" workbookViewId="0">
      <selection activeCell="K21" sqref="K21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30" customHeight="1" x14ac:dyDescent="0.25">
      <c r="B2" s="1454" t="s">
        <v>1758</v>
      </c>
      <c r="C2" s="1454"/>
      <c r="D2" s="1454"/>
      <c r="E2" s="1454"/>
      <c r="F2" s="1454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e">
        <f>DG!#REF!</f>
        <v>#REF!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3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>
        <v>0</v>
      </c>
      <c r="E22" s="430">
        <f t="shared" si="2"/>
        <v>0</v>
      </c>
      <c r="F22" s="834">
        <f t="shared" si="3"/>
        <v>0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</row>
    <row r="32" spans="2:9" x14ac:dyDescent="0.25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 t="s">
        <v>1448</v>
      </c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9">
    <mergeCell ref="B25:C25"/>
    <mergeCell ref="B30:C30"/>
    <mergeCell ref="B31:C31"/>
    <mergeCell ref="B2:F2"/>
    <mergeCell ref="B4:F5"/>
    <mergeCell ref="B8:B9"/>
    <mergeCell ref="C8:C9"/>
    <mergeCell ref="B11:F11"/>
    <mergeCell ref="B23:C23"/>
  </mergeCells>
  <pageMargins left="0.7" right="0.7" top="0.75" bottom="0.75" header="0.3" footer="0.3"/>
  <pageSetup paperSize="9" scale="84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C000"/>
    <pageSetUpPr fitToPage="1"/>
  </sheetPr>
  <dimension ref="B1:K37"/>
  <sheetViews>
    <sheetView view="pageBreakPreview" zoomScale="80" zoomScaleNormal="100" zoomScaleSheetLayoutView="80" workbookViewId="0">
      <selection activeCell="K21" sqref="K21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30" customHeight="1" x14ac:dyDescent="0.25">
      <c r="B2" s="1454" t="s">
        <v>1758</v>
      </c>
      <c r="C2" s="1454"/>
      <c r="D2" s="1454"/>
      <c r="E2" s="1454"/>
      <c r="F2" s="1454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DG!C83</f>
        <v>OBIECT 8 - Amenajare teren sportiv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3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>
        <v>0</v>
      </c>
      <c r="E22" s="430">
        <f t="shared" si="2"/>
        <v>0</v>
      </c>
      <c r="F22" s="834">
        <f t="shared" si="3"/>
        <v>0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18731.7</v>
      </c>
      <c r="E24" s="430">
        <f>D24*$I$4</f>
        <v>3559.0230000000001</v>
      </c>
      <c r="F24" s="834">
        <f>D24+E24</f>
        <v>22290.723000000002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18731.7</v>
      </c>
      <c r="E25" s="432">
        <f t="shared" si="4"/>
        <v>3559.0230000000001</v>
      </c>
      <c r="F25" s="837">
        <f t="shared" si="4"/>
        <v>22290.723000000002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f>'13-LU'!E12</f>
        <v>124878</v>
      </c>
      <c r="E26" s="430">
        <f>D26*$I$4</f>
        <v>23726.82</v>
      </c>
      <c r="F26" s="834">
        <f>D26+E26</f>
        <v>148604.82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124878</v>
      </c>
      <c r="E30" s="433">
        <f>SUM(E26:E29)</f>
        <v>23726.82</v>
      </c>
      <c r="F30" s="838">
        <f>SUM(F26:F29)</f>
        <v>148604.82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28"/>
    </row>
    <row r="32" spans="2:9" x14ac:dyDescent="0.25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 t="s">
        <v>1448</v>
      </c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9">
    <mergeCell ref="B25:C25"/>
    <mergeCell ref="B30:C30"/>
    <mergeCell ref="B31:C31"/>
    <mergeCell ref="B2:F2"/>
    <mergeCell ref="B4:F5"/>
    <mergeCell ref="B8:B9"/>
    <mergeCell ref="C8:C9"/>
    <mergeCell ref="B11:F11"/>
    <mergeCell ref="B23:C23"/>
  </mergeCells>
  <pageMargins left="0.7" right="0.7" top="0.75" bottom="0.75" header="0.3" footer="0.3"/>
  <pageSetup paperSize="9" scale="84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FF00"/>
    <pageSetUpPr fitToPage="1"/>
  </sheetPr>
  <dimension ref="A1:P309"/>
  <sheetViews>
    <sheetView view="pageBreakPreview" zoomScale="80" zoomScaleNormal="70" zoomScaleSheetLayoutView="80" workbookViewId="0">
      <selection activeCell="K21" sqref="K21"/>
    </sheetView>
  </sheetViews>
  <sheetFormatPr defaultColWidth="10.7109375" defaultRowHeight="12.75" x14ac:dyDescent="0.25"/>
  <cols>
    <col min="1" max="1" width="7.85546875" style="360" customWidth="1"/>
    <col min="2" max="2" width="38" style="373" customWidth="1"/>
    <col min="3" max="3" width="8.42578125" style="374" customWidth="1"/>
    <col min="4" max="4" width="15.7109375" style="375" customWidth="1"/>
    <col min="5" max="5" width="17.85546875" style="375" customWidth="1"/>
    <col min="6" max="6" width="31.85546875" style="360" hidden="1" customWidth="1"/>
    <col min="7" max="7" width="33.28515625" style="360" customWidth="1"/>
    <col min="8" max="255" width="10.7109375" style="360"/>
    <col min="256" max="256" width="13.140625" style="360" customWidth="1"/>
    <col min="257" max="257" width="38" style="360" customWidth="1"/>
    <col min="258" max="258" width="8.42578125" style="360" customWidth="1"/>
    <col min="259" max="259" width="15.7109375" style="360" customWidth="1"/>
    <col min="260" max="260" width="18.28515625" style="360" customWidth="1"/>
    <col min="261" max="261" width="17.85546875" style="360" customWidth="1"/>
    <col min="262" max="262" width="0" style="360" hidden="1" customWidth="1"/>
    <col min="263" max="263" width="33.28515625" style="360" customWidth="1"/>
    <col min="264" max="511" width="10.7109375" style="360"/>
    <col min="512" max="512" width="13.140625" style="360" customWidth="1"/>
    <col min="513" max="513" width="38" style="360" customWidth="1"/>
    <col min="514" max="514" width="8.42578125" style="360" customWidth="1"/>
    <col min="515" max="515" width="15.7109375" style="360" customWidth="1"/>
    <col min="516" max="516" width="18.28515625" style="360" customWidth="1"/>
    <col min="517" max="517" width="17.85546875" style="360" customWidth="1"/>
    <col min="518" max="518" width="0" style="360" hidden="1" customWidth="1"/>
    <col min="519" max="519" width="33.28515625" style="360" customWidth="1"/>
    <col min="520" max="767" width="10.7109375" style="360"/>
    <col min="768" max="768" width="13.140625" style="360" customWidth="1"/>
    <col min="769" max="769" width="38" style="360" customWidth="1"/>
    <col min="770" max="770" width="8.42578125" style="360" customWidth="1"/>
    <col min="771" max="771" width="15.7109375" style="360" customWidth="1"/>
    <col min="772" max="772" width="18.28515625" style="360" customWidth="1"/>
    <col min="773" max="773" width="17.85546875" style="360" customWidth="1"/>
    <col min="774" max="774" width="0" style="360" hidden="1" customWidth="1"/>
    <col min="775" max="775" width="33.28515625" style="360" customWidth="1"/>
    <col min="776" max="1023" width="10.7109375" style="360"/>
    <col min="1024" max="1024" width="13.140625" style="360" customWidth="1"/>
    <col min="1025" max="1025" width="38" style="360" customWidth="1"/>
    <col min="1026" max="1026" width="8.42578125" style="360" customWidth="1"/>
    <col min="1027" max="1027" width="15.7109375" style="360" customWidth="1"/>
    <col min="1028" max="1028" width="18.28515625" style="360" customWidth="1"/>
    <col min="1029" max="1029" width="17.85546875" style="360" customWidth="1"/>
    <col min="1030" max="1030" width="0" style="360" hidden="1" customWidth="1"/>
    <col min="1031" max="1031" width="33.28515625" style="360" customWidth="1"/>
    <col min="1032" max="1279" width="10.7109375" style="360"/>
    <col min="1280" max="1280" width="13.140625" style="360" customWidth="1"/>
    <col min="1281" max="1281" width="38" style="360" customWidth="1"/>
    <col min="1282" max="1282" width="8.42578125" style="360" customWidth="1"/>
    <col min="1283" max="1283" width="15.7109375" style="360" customWidth="1"/>
    <col min="1284" max="1284" width="18.28515625" style="360" customWidth="1"/>
    <col min="1285" max="1285" width="17.85546875" style="360" customWidth="1"/>
    <col min="1286" max="1286" width="0" style="360" hidden="1" customWidth="1"/>
    <col min="1287" max="1287" width="33.28515625" style="360" customWidth="1"/>
    <col min="1288" max="1535" width="10.7109375" style="360"/>
    <col min="1536" max="1536" width="13.140625" style="360" customWidth="1"/>
    <col min="1537" max="1537" width="38" style="360" customWidth="1"/>
    <col min="1538" max="1538" width="8.42578125" style="360" customWidth="1"/>
    <col min="1539" max="1539" width="15.7109375" style="360" customWidth="1"/>
    <col min="1540" max="1540" width="18.28515625" style="360" customWidth="1"/>
    <col min="1541" max="1541" width="17.85546875" style="360" customWidth="1"/>
    <col min="1542" max="1542" width="0" style="360" hidden="1" customWidth="1"/>
    <col min="1543" max="1543" width="33.28515625" style="360" customWidth="1"/>
    <col min="1544" max="1791" width="10.7109375" style="360"/>
    <col min="1792" max="1792" width="13.140625" style="360" customWidth="1"/>
    <col min="1793" max="1793" width="38" style="360" customWidth="1"/>
    <col min="1794" max="1794" width="8.42578125" style="360" customWidth="1"/>
    <col min="1795" max="1795" width="15.7109375" style="360" customWidth="1"/>
    <col min="1796" max="1796" width="18.28515625" style="360" customWidth="1"/>
    <col min="1797" max="1797" width="17.85546875" style="360" customWidth="1"/>
    <col min="1798" max="1798" width="0" style="360" hidden="1" customWidth="1"/>
    <col min="1799" max="1799" width="33.28515625" style="360" customWidth="1"/>
    <col min="1800" max="2047" width="10.7109375" style="360"/>
    <col min="2048" max="2048" width="13.140625" style="360" customWidth="1"/>
    <col min="2049" max="2049" width="38" style="360" customWidth="1"/>
    <col min="2050" max="2050" width="8.42578125" style="360" customWidth="1"/>
    <col min="2051" max="2051" width="15.7109375" style="360" customWidth="1"/>
    <col min="2052" max="2052" width="18.28515625" style="360" customWidth="1"/>
    <col min="2053" max="2053" width="17.85546875" style="360" customWidth="1"/>
    <col min="2054" max="2054" width="0" style="360" hidden="1" customWidth="1"/>
    <col min="2055" max="2055" width="33.28515625" style="360" customWidth="1"/>
    <col min="2056" max="2303" width="10.7109375" style="360"/>
    <col min="2304" max="2304" width="13.140625" style="360" customWidth="1"/>
    <col min="2305" max="2305" width="38" style="360" customWidth="1"/>
    <col min="2306" max="2306" width="8.42578125" style="360" customWidth="1"/>
    <col min="2307" max="2307" width="15.7109375" style="360" customWidth="1"/>
    <col min="2308" max="2308" width="18.28515625" style="360" customWidth="1"/>
    <col min="2309" max="2309" width="17.85546875" style="360" customWidth="1"/>
    <col min="2310" max="2310" width="0" style="360" hidden="1" customWidth="1"/>
    <col min="2311" max="2311" width="33.28515625" style="360" customWidth="1"/>
    <col min="2312" max="2559" width="10.7109375" style="360"/>
    <col min="2560" max="2560" width="13.140625" style="360" customWidth="1"/>
    <col min="2561" max="2561" width="38" style="360" customWidth="1"/>
    <col min="2562" max="2562" width="8.42578125" style="360" customWidth="1"/>
    <col min="2563" max="2563" width="15.7109375" style="360" customWidth="1"/>
    <col min="2564" max="2564" width="18.28515625" style="360" customWidth="1"/>
    <col min="2565" max="2565" width="17.85546875" style="360" customWidth="1"/>
    <col min="2566" max="2566" width="0" style="360" hidden="1" customWidth="1"/>
    <col min="2567" max="2567" width="33.28515625" style="360" customWidth="1"/>
    <col min="2568" max="2815" width="10.7109375" style="360"/>
    <col min="2816" max="2816" width="13.140625" style="360" customWidth="1"/>
    <col min="2817" max="2817" width="38" style="360" customWidth="1"/>
    <col min="2818" max="2818" width="8.42578125" style="360" customWidth="1"/>
    <col min="2819" max="2819" width="15.7109375" style="360" customWidth="1"/>
    <col min="2820" max="2820" width="18.28515625" style="360" customWidth="1"/>
    <col min="2821" max="2821" width="17.85546875" style="360" customWidth="1"/>
    <col min="2822" max="2822" width="0" style="360" hidden="1" customWidth="1"/>
    <col min="2823" max="2823" width="33.28515625" style="360" customWidth="1"/>
    <col min="2824" max="3071" width="10.7109375" style="360"/>
    <col min="3072" max="3072" width="13.140625" style="360" customWidth="1"/>
    <col min="3073" max="3073" width="38" style="360" customWidth="1"/>
    <col min="3074" max="3074" width="8.42578125" style="360" customWidth="1"/>
    <col min="3075" max="3075" width="15.7109375" style="360" customWidth="1"/>
    <col min="3076" max="3076" width="18.28515625" style="360" customWidth="1"/>
    <col min="3077" max="3077" width="17.85546875" style="360" customWidth="1"/>
    <col min="3078" max="3078" width="0" style="360" hidden="1" customWidth="1"/>
    <col min="3079" max="3079" width="33.28515625" style="360" customWidth="1"/>
    <col min="3080" max="3327" width="10.7109375" style="360"/>
    <col min="3328" max="3328" width="13.140625" style="360" customWidth="1"/>
    <col min="3329" max="3329" width="38" style="360" customWidth="1"/>
    <col min="3330" max="3330" width="8.42578125" style="360" customWidth="1"/>
    <col min="3331" max="3331" width="15.7109375" style="360" customWidth="1"/>
    <col min="3332" max="3332" width="18.28515625" style="360" customWidth="1"/>
    <col min="3333" max="3333" width="17.85546875" style="360" customWidth="1"/>
    <col min="3334" max="3334" width="0" style="360" hidden="1" customWidth="1"/>
    <col min="3335" max="3335" width="33.28515625" style="360" customWidth="1"/>
    <col min="3336" max="3583" width="10.7109375" style="360"/>
    <col min="3584" max="3584" width="13.140625" style="360" customWidth="1"/>
    <col min="3585" max="3585" width="38" style="360" customWidth="1"/>
    <col min="3586" max="3586" width="8.42578125" style="360" customWidth="1"/>
    <col min="3587" max="3587" width="15.7109375" style="360" customWidth="1"/>
    <col min="3588" max="3588" width="18.28515625" style="360" customWidth="1"/>
    <col min="3589" max="3589" width="17.85546875" style="360" customWidth="1"/>
    <col min="3590" max="3590" width="0" style="360" hidden="1" customWidth="1"/>
    <col min="3591" max="3591" width="33.28515625" style="360" customWidth="1"/>
    <col min="3592" max="3839" width="10.7109375" style="360"/>
    <col min="3840" max="3840" width="13.140625" style="360" customWidth="1"/>
    <col min="3841" max="3841" width="38" style="360" customWidth="1"/>
    <col min="3842" max="3842" width="8.42578125" style="360" customWidth="1"/>
    <col min="3843" max="3843" width="15.7109375" style="360" customWidth="1"/>
    <col min="3844" max="3844" width="18.28515625" style="360" customWidth="1"/>
    <col min="3845" max="3845" width="17.85546875" style="360" customWidth="1"/>
    <col min="3846" max="3846" width="0" style="360" hidden="1" customWidth="1"/>
    <col min="3847" max="3847" width="33.28515625" style="360" customWidth="1"/>
    <col min="3848" max="4095" width="10.7109375" style="360"/>
    <col min="4096" max="4096" width="13.140625" style="360" customWidth="1"/>
    <col min="4097" max="4097" width="38" style="360" customWidth="1"/>
    <col min="4098" max="4098" width="8.42578125" style="360" customWidth="1"/>
    <col min="4099" max="4099" width="15.7109375" style="360" customWidth="1"/>
    <col min="4100" max="4100" width="18.28515625" style="360" customWidth="1"/>
    <col min="4101" max="4101" width="17.85546875" style="360" customWidth="1"/>
    <col min="4102" max="4102" width="0" style="360" hidden="1" customWidth="1"/>
    <col min="4103" max="4103" width="33.28515625" style="360" customWidth="1"/>
    <col min="4104" max="4351" width="10.7109375" style="360"/>
    <col min="4352" max="4352" width="13.140625" style="360" customWidth="1"/>
    <col min="4353" max="4353" width="38" style="360" customWidth="1"/>
    <col min="4354" max="4354" width="8.42578125" style="360" customWidth="1"/>
    <col min="4355" max="4355" width="15.7109375" style="360" customWidth="1"/>
    <col min="4356" max="4356" width="18.28515625" style="360" customWidth="1"/>
    <col min="4357" max="4357" width="17.85546875" style="360" customWidth="1"/>
    <col min="4358" max="4358" width="0" style="360" hidden="1" customWidth="1"/>
    <col min="4359" max="4359" width="33.28515625" style="360" customWidth="1"/>
    <col min="4360" max="4607" width="10.7109375" style="360"/>
    <col min="4608" max="4608" width="13.140625" style="360" customWidth="1"/>
    <col min="4609" max="4609" width="38" style="360" customWidth="1"/>
    <col min="4610" max="4610" width="8.42578125" style="360" customWidth="1"/>
    <col min="4611" max="4611" width="15.7109375" style="360" customWidth="1"/>
    <col min="4612" max="4612" width="18.28515625" style="360" customWidth="1"/>
    <col min="4613" max="4613" width="17.85546875" style="360" customWidth="1"/>
    <col min="4614" max="4614" width="0" style="360" hidden="1" customWidth="1"/>
    <col min="4615" max="4615" width="33.28515625" style="360" customWidth="1"/>
    <col min="4616" max="4863" width="10.7109375" style="360"/>
    <col min="4864" max="4864" width="13.140625" style="360" customWidth="1"/>
    <col min="4865" max="4865" width="38" style="360" customWidth="1"/>
    <col min="4866" max="4866" width="8.42578125" style="360" customWidth="1"/>
    <col min="4867" max="4867" width="15.7109375" style="360" customWidth="1"/>
    <col min="4868" max="4868" width="18.28515625" style="360" customWidth="1"/>
    <col min="4869" max="4869" width="17.85546875" style="360" customWidth="1"/>
    <col min="4870" max="4870" width="0" style="360" hidden="1" customWidth="1"/>
    <col min="4871" max="4871" width="33.28515625" style="360" customWidth="1"/>
    <col min="4872" max="5119" width="10.7109375" style="360"/>
    <col min="5120" max="5120" width="13.140625" style="360" customWidth="1"/>
    <col min="5121" max="5121" width="38" style="360" customWidth="1"/>
    <col min="5122" max="5122" width="8.42578125" style="360" customWidth="1"/>
    <col min="5123" max="5123" width="15.7109375" style="360" customWidth="1"/>
    <col min="5124" max="5124" width="18.28515625" style="360" customWidth="1"/>
    <col min="5125" max="5125" width="17.85546875" style="360" customWidth="1"/>
    <col min="5126" max="5126" width="0" style="360" hidden="1" customWidth="1"/>
    <col min="5127" max="5127" width="33.28515625" style="360" customWidth="1"/>
    <col min="5128" max="5375" width="10.7109375" style="360"/>
    <col min="5376" max="5376" width="13.140625" style="360" customWidth="1"/>
    <col min="5377" max="5377" width="38" style="360" customWidth="1"/>
    <col min="5378" max="5378" width="8.42578125" style="360" customWidth="1"/>
    <col min="5379" max="5379" width="15.7109375" style="360" customWidth="1"/>
    <col min="5380" max="5380" width="18.28515625" style="360" customWidth="1"/>
    <col min="5381" max="5381" width="17.85546875" style="360" customWidth="1"/>
    <col min="5382" max="5382" width="0" style="360" hidden="1" customWidth="1"/>
    <col min="5383" max="5383" width="33.28515625" style="360" customWidth="1"/>
    <col min="5384" max="5631" width="10.7109375" style="360"/>
    <col min="5632" max="5632" width="13.140625" style="360" customWidth="1"/>
    <col min="5633" max="5633" width="38" style="360" customWidth="1"/>
    <col min="5634" max="5634" width="8.42578125" style="360" customWidth="1"/>
    <col min="5635" max="5635" width="15.7109375" style="360" customWidth="1"/>
    <col min="5636" max="5636" width="18.28515625" style="360" customWidth="1"/>
    <col min="5637" max="5637" width="17.85546875" style="360" customWidth="1"/>
    <col min="5638" max="5638" width="0" style="360" hidden="1" customWidth="1"/>
    <col min="5639" max="5639" width="33.28515625" style="360" customWidth="1"/>
    <col min="5640" max="5887" width="10.7109375" style="360"/>
    <col min="5888" max="5888" width="13.140625" style="360" customWidth="1"/>
    <col min="5889" max="5889" width="38" style="360" customWidth="1"/>
    <col min="5890" max="5890" width="8.42578125" style="360" customWidth="1"/>
    <col min="5891" max="5891" width="15.7109375" style="360" customWidth="1"/>
    <col min="5892" max="5892" width="18.28515625" style="360" customWidth="1"/>
    <col min="5893" max="5893" width="17.85546875" style="360" customWidth="1"/>
    <col min="5894" max="5894" width="0" style="360" hidden="1" customWidth="1"/>
    <col min="5895" max="5895" width="33.28515625" style="360" customWidth="1"/>
    <col min="5896" max="6143" width="10.7109375" style="360"/>
    <col min="6144" max="6144" width="13.140625" style="360" customWidth="1"/>
    <col min="6145" max="6145" width="38" style="360" customWidth="1"/>
    <col min="6146" max="6146" width="8.42578125" style="360" customWidth="1"/>
    <col min="6147" max="6147" width="15.7109375" style="360" customWidth="1"/>
    <col min="6148" max="6148" width="18.28515625" style="360" customWidth="1"/>
    <col min="6149" max="6149" width="17.85546875" style="360" customWidth="1"/>
    <col min="6150" max="6150" width="0" style="360" hidden="1" customWidth="1"/>
    <col min="6151" max="6151" width="33.28515625" style="360" customWidth="1"/>
    <col min="6152" max="6399" width="10.7109375" style="360"/>
    <col min="6400" max="6400" width="13.140625" style="360" customWidth="1"/>
    <col min="6401" max="6401" width="38" style="360" customWidth="1"/>
    <col min="6402" max="6402" width="8.42578125" style="360" customWidth="1"/>
    <col min="6403" max="6403" width="15.7109375" style="360" customWidth="1"/>
    <col min="6404" max="6404" width="18.28515625" style="360" customWidth="1"/>
    <col min="6405" max="6405" width="17.85546875" style="360" customWidth="1"/>
    <col min="6406" max="6406" width="0" style="360" hidden="1" customWidth="1"/>
    <col min="6407" max="6407" width="33.28515625" style="360" customWidth="1"/>
    <col min="6408" max="6655" width="10.7109375" style="360"/>
    <col min="6656" max="6656" width="13.140625" style="360" customWidth="1"/>
    <col min="6657" max="6657" width="38" style="360" customWidth="1"/>
    <col min="6658" max="6658" width="8.42578125" style="360" customWidth="1"/>
    <col min="6659" max="6659" width="15.7109375" style="360" customWidth="1"/>
    <col min="6660" max="6660" width="18.28515625" style="360" customWidth="1"/>
    <col min="6661" max="6661" width="17.85546875" style="360" customWidth="1"/>
    <col min="6662" max="6662" width="0" style="360" hidden="1" customWidth="1"/>
    <col min="6663" max="6663" width="33.28515625" style="360" customWidth="1"/>
    <col min="6664" max="6911" width="10.7109375" style="360"/>
    <col min="6912" max="6912" width="13.140625" style="360" customWidth="1"/>
    <col min="6913" max="6913" width="38" style="360" customWidth="1"/>
    <col min="6914" max="6914" width="8.42578125" style="360" customWidth="1"/>
    <col min="6915" max="6915" width="15.7109375" style="360" customWidth="1"/>
    <col min="6916" max="6916" width="18.28515625" style="360" customWidth="1"/>
    <col min="6917" max="6917" width="17.85546875" style="360" customWidth="1"/>
    <col min="6918" max="6918" width="0" style="360" hidden="1" customWidth="1"/>
    <col min="6919" max="6919" width="33.28515625" style="360" customWidth="1"/>
    <col min="6920" max="7167" width="10.7109375" style="360"/>
    <col min="7168" max="7168" width="13.140625" style="360" customWidth="1"/>
    <col min="7169" max="7169" width="38" style="360" customWidth="1"/>
    <col min="7170" max="7170" width="8.42578125" style="360" customWidth="1"/>
    <col min="7171" max="7171" width="15.7109375" style="360" customWidth="1"/>
    <col min="7172" max="7172" width="18.28515625" style="360" customWidth="1"/>
    <col min="7173" max="7173" width="17.85546875" style="360" customWidth="1"/>
    <col min="7174" max="7174" width="0" style="360" hidden="1" customWidth="1"/>
    <col min="7175" max="7175" width="33.28515625" style="360" customWidth="1"/>
    <col min="7176" max="7423" width="10.7109375" style="360"/>
    <col min="7424" max="7424" width="13.140625" style="360" customWidth="1"/>
    <col min="7425" max="7425" width="38" style="360" customWidth="1"/>
    <col min="7426" max="7426" width="8.42578125" style="360" customWidth="1"/>
    <col min="7427" max="7427" width="15.7109375" style="360" customWidth="1"/>
    <col min="7428" max="7428" width="18.28515625" style="360" customWidth="1"/>
    <col min="7429" max="7429" width="17.85546875" style="360" customWidth="1"/>
    <col min="7430" max="7430" width="0" style="360" hidden="1" customWidth="1"/>
    <col min="7431" max="7431" width="33.28515625" style="360" customWidth="1"/>
    <col min="7432" max="7679" width="10.7109375" style="360"/>
    <col min="7680" max="7680" width="13.140625" style="360" customWidth="1"/>
    <col min="7681" max="7681" width="38" style="360" customWidth="1"/>
    <col min="7682" max="7682" width="8.42578125" style="360" customWidth="1"/>
    <col min="7683" max="7683" width="15.7109375" style="360" customWidth="1"/>
    <col min="7684" max="7684" width="18.28515625" style="360" customWidth="1"/>
    <col min="7685" max="7685" width="17.85546875" style="360" customWidth="1"/>
    <col min="7686" max="7686" width="0" style="360" hidden="1" customWidth="1"/>
    <col min="7687" max="7687" width="33.28515625" style="360" customWidth="1"/>
    <col min="7688" max="7935" width="10.7109375" style="360"/>
    <col min="7936" max="7936" width="13.140625" style="360" customWidth="1"/>
    <col min="7937" max="7937" width="38" style="360" customWidth="1"/>
    <col min="7938" max="7938" width="8.42578125" style="360" customWidth="1"/>
    <col min="7939" max="7939" width="15.7109375" style="360" customWidth="1"/>
    <col min="7940" max="7940" width="18.28515625" style="360" customWidth="1"/>
    <col min="7941" max="7941" width="17.85546875" style="360" customWidth="1"/>
    <col min="7942" max="7942" width="0" style="360" hidden="1" customWidth="1"/>
    <col min="7943" max="7943" width="33.28515625" style="360" customWidth="1"/>
    <col min="7944" max="8191" width="10.7109375" style="360"/>
    <col min="8192" max="8192" width="13.140625" style="360" customWidth="1"/>
    <col min="8193" max="8193" width="38" style="360" customWidth="1"/>
    <col min="8194" max="8194" width="8.42578125" style="360" customWidth="1"/>
    <col min="8195" max="8195" width="15.7109375" style="360" customWidth="1"/>
    <col min="8196" max="8196" width="18.28515625" style="360" customWidth="1"/>
    <col min="8197" max="8197" width="17.85546875" style="360" customWidth="1"/>
    <col min="8198" max="8198" width="0" style="360" hidden="1" customWidth="1"/>
    <col min="8199" max="8199" width="33.28515625" style="360" customWidth="1"/>
    <col min="8200" max="8447" width="10.7109375" style="360"/>
    <col min="8448" max="8448" width="13.140625" style="360" customWidth="1"/>
    <col min="8449" max="8449" width="38" style="360" customWidth="1"/>
    <col min="8450" max="8450" width="8.42578125" style="360" customWidth="1"/>
    <col min="8451" max="8451" width="15.7109375" style="360" customWidth="1"/>
    <col min="8452" max="8452" width="18.28515625" style="360" customWidth="1"/>
    <col min="8453" max="8453" width="17.85546875" style="360" customWidth="1"/>
    <col min="8454" max="8454" width="0" style="360" hidden="1" customWidth="1"/>
    <col min="8455" max="8455" width="33.28515625" style="360" customWidth="1"/>
    <col min="8456" max="8703" width="10.7109375" style="360"/>
    <col min="8704" max="8704" width="13.140625" style="360" customWidth="1"/>
    <col min="8705" max="8705" width="38" style="360" customWidth="1"/>
    <col min="8706" max="8706" width="8.42578125" style="360" customWidth="1"/>
    <col min="8707" max="8707" width="15.7109375" style="360" customWidth="1"/>
    <col min="8708" max="8708" width="18.28515625" style="360" customWidth="1"/>
    <col min="8709" max="8709" width="17.85546875" style="360" customWidth="1"/>
    <col min="8710" max="8710" width="0" style="360" hidden="1" customWidth="1"/>
    <col min="8711" max="8711" width="33.28515625" style="360" customWidth="1"/>
    <col min="8712" max="8959" width="10.7109375" style="360"/>
    <col min="8960" max="8960" width="13.140625" style="360" customWidth="1"/>
    <col min="8961" max="8961" width="38" style="360" customWidth="1"/>
    <col min="8962" max="8962" width="8.42578125" style="360" customWidth="1"/>
    <col min="8963" max="8963" width="15.7109375" style="360" customWidth="1"/>
    <col min="8964" max="8964" width="18.28515625" style="360" customWidth="1"/>
    <col min="8965" max="8965" width="17.85546875" style="360" customWidth="1"/>
    <col min="8966" max="8966" width="0" style="360" hidden="1" customWidth="1"/>
    <col min="8967" max="8967" width="33.28515625" style="360" customWidth="1"/>
    <col min="8968" max="9215" width="10.7109375" style="360"/>
    <col min="9216" max="9216" width="13.140625" style="360" customWidth="1"/>
    <col min="9217" max="9217" width="38" style="360" customWidth="1"/>
    <col min="9218" max="9218" width="8.42578125" style="360" customWidth="1"/>
    <col min="9219" max="9219" width="15.7109375" style="360" customWidth="1"/>
    <col min="9220" max="9220" width="18.28515625" style="360" customWidth="1"/>
    <col min="9221" max="9221" width="17.85546875" style="360" customWidth="1"/>
    <col min="9222" max="9222" width="0" style="360" hidden="1" customWidth="1"/>
    <col min="9223" max="9223" width="33.28515625" style="360" customWidth="1"/>
    <col min="9224" max="9471" width="10.7109375" style="360"/>
    <col min="9472" max="9472" width="13.140625" style="360" customWidth="1"/>
    <col min="9473" max="9473" width="38" style="360" customWidth="1"/>
    <col min="9474" max="9474" width="8.42578125" style="360" customWidth="1"/>
    <col min="9475" max="9475" width="15.7109375" style="360" customWidth="1"/>
    <col min="9476" max="9476" width="18.28515625" style="360" customWidth="1"/>
    <col min="9477" max="9477" width="17.85546875" style="360" customWidth="1"/>
    <col min="9478" max="9478" width="0" style="360" hidden="1" customWidth="1"/>
    <col min="9479" max="9479" width="33.28515625" style="360" customWidth="1"/>
    <col min="9480" max="9727" width="10.7109375" style="360"/>
    <col min="9728" max="9728" width="13.140625" style="360" customWidth="1"/>
    <col min="9729" max="9729" width="38" style="360" customWidth="1"/>
    <col min="9730" max="9730" width="8.42578125" style="360" customWidth="1"/>
    <col min="9731" max="9731" width="15.7109375" style="360" customWidth="1"/>
    <col min="9732" max="9732" width="18.28515625" style="360" customWidth="1"/>
    <col min="9733" max="9733" width="17.85546875" style="360" customWidth="1"/>
    <col min="9734" max="9734" width="0" style="360" hidden="1" customWidth="1"/>
    <col min="9735" max="9735" width="33.28515625" style="360" customWidth="1"/>
    <col min="9736" max="9983" width="10.7109375" style="360"/>
    <col min="9984" max="9984" width="13.140625" style="360" customWidth="1"/>
    <col min="9985" max="9985" width="38" style="360" customWidth="1"/>
    <col min="9986" max="9986" width="8.42578125" style="360" customWidth="1"/>
    <col min="9987" max="9987" width="15.7109375" style="360" customWidth="1"/>
    <col min="9988" max="9988" width="18.28515625" style="360" customWidth="1"/>
    <col min="9989" max="9989" width="17.85546875" style="360" customWidth="1"/>
    <col min="9990" max="9990" width="0" style="360" hidden="1" customWidth="1"/>
    <col min="9991" max="9991" width="33.28515625" style="360" customWidth="1"/>
    <col min="9992" max="10239" width="10.7109375" style="360"/>
    <col min="10240" max="10240" width="13.140625" style="360" customWidth="1"/>
    <col min="10241" max="10241" width="38" style="360" customWidth="1"/>
    <col min="10242" max="10242" width="8.42578125" style="360" customWidth="1"/>
    <col min="10243" max="10243" width="15.7109375" style="360" customWidth="1"/>
    <col min="10244" max="10244" width="18.28515625" style="360" customWidth="1"/>
    <col min="10245" max="10245" width="17.85546875" style="360" customWidth="1"/>
    <col min="10246" max="10246" width="0" style="360" hidden="1" customWidth="1"/>
    <col min="10247" max="10247" width="33.28515625" style="360" customWidth="1"/>
    <col min="10248" max="10495" width="10.7109375" style="360"/>
    <col min="10496" max="10496" width="13.140625" style="360" customWidth="1"/>
    <col min="10497" max="10497" width="38" style="360" customWidth="1"/>
    <col min="10498" max="10498" width="8.42578125" style="360" customWidth="1"/>
    <col min="10499" max="10499" width="15.7109375" style="360" customWidth="1"/>
    <col min="10500" max="10500" width="18.28515625" style="360" customWidth="1"/>
    <col min="10501" max="10501" width="17.85546875" style="360" customWidth="1"/>
    <col min="10502" max="10502" width="0" style="360" hidden="1" customWidth="1"/>
    <col min="10503" max="10503" width="33.28515625" style="360" customWidth="1"/>
    <col min="10504" max="10751" width="10.7109375" style="360"/>
    <col min="10752" max="10752" width="13.140625" style="360" customWidth="1"/>
    <col min="10753" max="10753" width="38" style="360" customWidth="1"/>
    <col min="10754" max="10754" width="8.42578125" style="360" customWidth="1"/>
    <col min="10755" max="10755" width="15.7109375" style="360" customWidth="1"/>
    <col min="10756" max="10756" width="18.28515625" style="360" customWidth="1"/>
    <col min="10757" max="10757" width="17.85546875" style="360" customWidth="1"/>
    <col min="10758" max="10758" width="0" style="360" hidden="1" customWidth="1"/>
    <col min="10759" max="10759" width="33.28515625" style="360" customWidth="1"/>
    <col min="10760" max="11007" width="10.7109375" style="360"/>
    <col min="11008" max="11008" width="13.140625" style="360" customWidth="1"/>
    <col min="11009" max="11009" width="38" style="360" customWidth="1"/>
    <col min="11010" max="11010" width="8.42578125" style="360" customWidth="1"/>
    <col min="11011" max="11011" width="15.7109375" style="360" customWidth="1"/>
    <col min="11012" max="11012" width="18.28515625" style="360" customWidth="1"/>
    <col min="11013" max="11013" width="17.85546875" style="360" customWidth="1"/>
    <col min="11014" max="11014" width="0" style="360" hidden="1" customWidth="1"/>
    <col min="11015" max="11015" width="33.28515625" style="360" customWidth="1"/>
    <col min="11016" max="11263" width="10.7109375" style="360"/>
    <col min="11264" max="11264" width="13.140625" style="360" customWidth="1"/>
    <col min="11265" max="11265" width="38" style="360" customWidth="1"/>
    <col min="11266" max="11266" width="8.42578125" style="360" customWidth="1"/>
    <col min="11267" max="11267" width="15.7109375" style="360" customWidth="1"/>
    <col min="11268" max="11268" width="18.28515625" style="360" customWidth="1"/>
    <col min="11269" max="11269" width="17.85546875" style="360" customWidth="1"/>
    <col min="11270" max="11270" width="0" style="360" hidden="1" customWidth="1"/>
    <col min="11271" max="11271" width="33.28515625" style="360" customWidth="1"/>
    <col min="11272" max="11519" width="10.7109375" style="360"/>
    <col min="11520" max="11520" width="13.140625" style="360" customWidth="1"/>
    <col min="11521" max="11521" width="38" style="360" customWidth="1"/>
    <col min="11522" max="11522" width="8.42578125" style="360" customWidth="1"/>
    <col min="11523" max="11523" width="15.7109375" style="360" customWidth="1"/>
    <col min="11524" max="11524" width="18.28515625" style="360" customWidth="1"/>
    <col min="11525" max="11525" width="17.85546875" style="360" customWidth="1"/>
    <col min="11526" max="11526" width="0" style="360" hidden="1" customWidth="1"/>
    <col min="11527" max="11527" width="33.28515625" style="360" customWidth="1"/>
    <col min="11528" max="11775" width="10.7109375" style="360"/>
    <col min="11776" max="11776" width="13.140625" style="360" customWidth="1"/>
    <col min="11777" max="11777" width="38" style="360" customWidth="1"/>
    <col min="11778" max="11778" width="8.42578125" style="360" customWidth="1"/>
    <col min="11779" max="11779" width="15.7109375" style="360" customWidth="1"/>
    <col min="11780" max="11780" width="18.28515625" style="360" customWidth="1"/>
    <col min="11781" max="11781" width="17.85546875" style="360" customWidth="1"/>
    <col min="11782" max="11782" width="0" style="360" hidden="1" customWidth="1"/>
    <col min="11783" max="11783" width="33.28515625" style="360" customWidth="1"/>
    <col min="11784" max="12031" width="10.7109375" style="360"/>
    <col min="12032" max="12032" width="13.140625" style="360" customWidth="1"/>
    <col min="12033" max="12033" width="38" style="360" customWidth="1"/>
    <col min="12034" max="12034" width="8.42578125" style="360" customWidth="1"/>
    <col min="12035" max="12035" width="15.7109375" style="360" customWidth="1"/>
    <col min="12036" max="12036" width="18.28515625" style="360" customWidth="1"/>
    <col min="12037" max="12037" width="17.85546875" style="360" customWidth="1"/>
    <col min="12038" max="12038" width="0" style="360" hidden="1" customWidth="1"/>
    <col min="12039" max="12039" width="33.28515625" style="360" customWidth="1"/>
    <col min="12040" max="12287" width="10.7109375" style="360"/>
    <col min="12288" max="12288" width="13.140625" style="360" customWidth="1"/>
    <col min="12289" max="12289" width="38" style="360" customWidth="1"/>
    <col min="12290" max="12290" width="8.42578125" style="360" customWidth="1"/>
    <col min="12291" max="12291" width="15.7109375" style="360" customWidth="1"/>
    <col min="12292" max="12292" width="18.28515625" style="360" customWidth="1"/>
    <col min="12293" max="12293" width="17.85546875" style="360" customWidth="1"/>
    <col min="12294" max="12294" width="0" style="360" hidden="1" customWidth="1"/>
    <col min="12295" max="12295" width="33.28515625" style="360" customWidth="1"/>
    <col min="12296" max="12543" width="10.7109375" style="360"/>
    <col min="12544" max="12544" width="13.140625" style="360" customWidth="1"/>
    <col min="12545" max="12545" width="38" style="360" customWidth="1"/>
    <col min="12546" max="12546" width="8.42578125" style="360" customWidth="1"/>
    <col min="12547" max="12547" width="15.7109375" style="360" customWidth="1"/>
    <col min="12548" max="12548" width="18.28515625" style="360" customWidth="1"/>
    <col min="12549" max="12549" width="17.85546875" style="360" customWidth="1"/>
    <col min="12550" max="12550" width="0" style="360" hidden="1" customWidth="1"/>
    <col min="12551" max="12551" width="33.28515625" style="360" customWidth="1"/>
    <col min="12552" max="12799" width="10.7109375" style="360"/>
    <col min="12800" max="12800" width="13.140625" style="360" customWidth="1"/>
    <col min="12801" max="12801" width="38" style="360" customWidth="1"/>
    <col min="12802" max="12802" width="8.42578125" style="360" customWidth="1"/>
    <col min="12803" max="12803" width="15.7109375" style="360" customWidth="1"/>
    <col min="12804" max="12804" width="18.28515625" style="360" customWidth="1"/>
    <col min="12805" max="12805" width="17.85546875" style="360" customWidth="1"/>
    <col min="12806" max="12806" width="0" style="360" hidden="1" customWidth="1"/>
    <col min="12807" max="12807" width="33.28515625" style="360" customWidth="1"/>
    <col min="12808" max="13055" width="10.7109375" style="360"/>
    <col min="13056" max="13056" width="13.140625" style="360" customWidth="1"/>
    <col min="13057" max="13057" width="38" style="360" customWidth="1"/>
    <col min="13058" max="13058" width="8.42578125" style="360" customWidth="1"/>
    <col min="13059" max="13059" width="15.7109375" style="360" customWidth="1"/>
    <col min="13060" max="13060" width="18.28515625" style="360" customWidth="1"/>
    <col min="13061" max="13061" width="17.85546875" style="360" customWidth="1"/>
    <col min="13062" max="13062" width="0" style="360" hidden="1" customWidth="1"/>
    <col min="13063" max="13063" width="33.28515625" style="360" customWidth="1"/>
    <col min="13064" max="13311" width="10.7109375" style="360"/>
    <col min="13312" max="13312" width="13.140625" style="360" customWidth="1"/>
    <col min="13313" max="13313" width="38" style="360" customWidth="1"/>
    <col min="13314" max="13314" width="8.42578125" style="360" customWidth="1"/>
    <col min="13315" max="13315" width="15.7109375" style="360" customWidth="1"/>
    <col min="13316" max="13316" width="18.28515625" style="360" customWidth="1"/>
    <col min="13317" max="13317" width="17.85546875" style="360" customWidth="1"/>
    <col min="13318" max="13318" width="0" style="360" hidden="1" customWidth="1"/>
    <col min="13319" max="13319" width="33.28515625" style="360" customWidth="1"/>
    <col min="13320" max="13567" width="10.7109375" style="360"/>
    <col min="13568" max="13568" width="13.140625" style="360" customWidth="1"/>
    <col min="13569" max="13569" width="38" style="360" customWidth="1"/>
    <col min="13570" max="13570" width="8.42578125" style="360" customWidth="1"/>
    <col min="13571" max="13571" width="15.7109375" style="360" customWidth="1"/>
    <col min="13572" max="13572" width="18.28515625" style="360" customWidth="1"/>
    <col min="13573" max="13573" width="17.85546875" style="360" customWidth="1"/>
    <col min="13574" max="13574" width="0" style="360" hidden="1" customWidth="1"/>
    <col min="13575" max="13575" width="33.28515625" style="360" customWidth="1"/>
    <col min="13576" max="13823" width="10.7109375" style="360"/>
    <col min="13824" max="13824" width="13.140625" style="360" customWidth="1"/>
    <col min="13825" max="13825" width="38" style="360" customWidth="1"/>
    <col min="13826" max="13826" width="8.42578125" style="360" customWidth="1"/>
    <col min="13827" max="13827" width="15.7109375" style="360" customWidth="1"/>
    <col min="13828" max="13828" width="18.28515625" style="360" customWidth="1"/>
    <col min="13829" max="13829" width="17.85546875" style="360" customWidth="1"/>
    <col min="13830" max="13830" width="0" style="360" hidden="1" customWidth="1"/>
    <col min="13831" max="13831" width="33.28515625" style="360" customWidth="1"/>
    <col min="13832" max="14079" width="10.7109375" style="360"/>
    <col min="14080" max="14080" width="13.140625" style="360" customWidth="1"/>
    <col min="14081" max="14081" width="38" style="360" customWidth="1"/>
    <col min="14082" max="14082" width="8.42578125" style="360" customWidth="1"/>
    <col min="14083" max="14083" width="15.7109375" style="360" customWidth="1"/>
    <col min="14084" max="14084" width="18.28515625" style="360" customWidth="1"/>
    <col min="14085" max="14085" width="17.85546875" style="360" customWidth="1"/>
    <col min="14086" max="14086" width="0" style="360" hidden="1" customWidth="1"/>
    <col min="14087" max="14087" width="33.28515625" style="360" customWidth="1"/>
    <col min="14088" max="14335" width="10.7109375" style="360"/>
    <col min="14336" max="14336" width="13.140625" style="360" customWidth="1"/>
    <col min="14337" max="14337" width="38" style="360" customWidth="1"/>
    <col min="14338" max="14338" width="8.42578125" style="360" customWidth="1"/>
    <col min="14339" max="14339" width="15.7109375" style="360" customWidth="1"/>
    <col min="14340" max="14340" width="18.28515625" style="360" customWidth="1"/>
    <col min="14341" max="14341" width="17.85546875" style="360" customWidth="1"/>
    <col min="14342" max="14342" width="0" style="360" hidden="1" customWidth="1"/>
    <col min="14343" max="14343" width="33.28515625" style="360" customWidth="1"/>
    <col min="14344" max="14591" width="10.7109375" style="360"/>
    <col min="14592" max="14592" width="13.140625" style="360" customWidth="1"/>
    <col min="14593" max="14593" width="38" style="360" customWidth="1"/>
    <col min="14594" max="14594" width="8.42578125" style="360" customWidth="1"/>
    <col min="14595" max="14595" width="15.7109375" style="360" customWidth="1"/>
    <col min="14596" max="14596" width="18.28515625" style="360" customWidth="1"/>
    <col min="14597" max="14597" width="17.85546875" style="360" customWidth="1"/>
    <col min="14598" max="14598" width="0" style="360" hidden="1" customWidth="1"/>
    <col min="14599" max="14599" width="33.28515625" style="360" customWidth="1"/>
    <col min="14600" max="14847" width="10.7109375" style="360"/>
    <col min="14848" max="14848" width="13.140625" style="360" customWidth="1"/>
    <col min="14849" max="14849" width="38" style="360" customWidth="1"/>
    <col min="14850" max="14850" width="8.42578125" style="360" customWidth="1"/>
    <col min="14851" max="14851" width="15.7109375" style="360" customWidth="1"/>
    <col min="14852" max="14852" width="18.28515625" style="360" customWidth="1"/>
    <col min="14853" max="14853" width="17.85546875" style="360" customWidth="1"/>
    <col min="14854" max="14854" width="0" style="360" hidden="1" customWidth="1"/>
    <col min="14855" max="14855" width="33.28515625" style="360" customWidth="1"/>
    <col min="14856" max="15103" width="10.7109375" style="360"/>
    <col min="15104" max="15104" width="13.140625" style="360" customWidth="1"/>
    <col min="15105" max="15105" width="38" style="360" customWidth="1"/>
    <col min="15106" max="15106" width="8.42578125" style="360" customWidth="1"/>
    <col min="15107" max="15107" width="15.7109375" style="360" customWidth="1"/>
    <col min="15108" max="15108" width="18.28515625" style="360" customWidth="1"/>
    <col min="15109" max="15109" width="17.85546875" style="360" customWidth="1"/>
    <col min="15110" max="15110" width="0" style="360" hidden="1" customWidth="1"/>
    <col min="15111" max="15111" width="33.28515625" style="360" customWidth="1"/>
    <col min="15112" max="15359" width="10.7109375" style="360"/>
    <col min="15360" max="15360" width="13.140625" style="360" customWidth="1"/>
    <col min="15361" max="15361" width="38" style="360" customWidth="1"/>
    <col min="15362" max="15362" width="8.42578125" style="360" customWidth="1"/>
    <col min="15363" max="15363" width="15.7109375" style="360" customWidth="1"/>
    <col min="15364" max="15364" width="18.28515625" style="360" customWidth="1"/>
    <col min="15365" max="15365" width="17.85546875" style="360" customWidth="1"/>
    <col min="15366" max="15366" width="0" style="360" hidden="1" customWidth="1"/>
    <col min="15367" max="15367" width="33.28515625" style="360" customWidth="1"/>
    <col min="15368" max="15615" width="10.7109375" style="360"/>
    <col min="15616" max="15616" width="13.140625" style="360" customWidth="1"/>
    <col min="15617" max="15617" width="38" style="360" customWidth="1"/>
    <col min="15618" max="15618" width="8.42578125" style="360" customWidth="1"/>
    <col min="15619" max="15619" width="15.7109375" style="360" customWidth="1"/>
    <col min="15620" max="15620" width="18.28515625" style="360" customWidth="1"/>
    <col min="15621" max="15621" width="17.85546875" style="360" customWidth="1"/>
    <col min="15622" max="15622" width="0" style="360" hidden="1" customWidth="1"/>
    <col min="15623" max="15623" width="33.28515625" style="360" customWidth="1"/>
    <col min="15624" max="15871" width="10.7109375" style="360"/>
    <col min="15872" max="15872" width="13.140625" style="360" customWidth="1"/>
    <col min="15873" max="15873" width="38" style="360" customWidth="1"/>
    <col min="15874" max="15874" width="8.42578125" style="360" customWidth="1"/>
    <col min="15875" max="15875" width="15.7109375" style="360" customWidth="1"/>
    <col min="15876" max="15876" width="18.28515625" style="360" customWidth="1"/>
    <col min="15877" max="15877" width="17.85546875" style="360" customWidth="1"/>
    <col min="15878" max="15878" width="0" style="360" hidden="1" customWidth="1"/>
    <col min="15879" max="15879" width="33.28515625" style="360" customWidth="1"/>
    <col min="15880" max="16127" width="10.7109375" style="360"/>
    <col min="16128" max="16128" width="13.140625" style="360" customWidth="1"/>
    <col min="16129" max="16129" width="38" style="360" customWidth="1"/>
    <col min="16130" max="16130" width="8.42578125" style="360" customWidth="1"/>
    <col min="16131" max="16131" width="15.7109375" style="360" customWidth="1"/>
    <col min="16132" max="16132" width="18.28515625" style="360" customWidth="1"/>
    <col min="16133" max="16133" width="17.85546875" style="360" customWidth="1"/>
    <col min="16134" max="16134" width="0" style="360" hidden="1" customWidth="1"/>
    <col min="16135" max="16135" width="33.28515625" style="360" customWidth="1"/>
    <col min="16136" max="16384" width="10.7109375" style="360"/>
  </cols>
  <sheetData>
    <row r="1" spans="1:9" ht="15" customHeight="1" x14ac:dyDescent="0.25">
      <c r="A1" s="547" t="s">
        <v>1760</v>
      </c>
      <c r="B1" s="356"/>
      <c r="C1" s="357"/>
      <c r="D1" s="358"/>
      <c r="E1" s="358"/>
      <c r="F1" s="359"/>
      <c r="G1" s="359"/>
    </row>
    <row r="2" spans="1:9" ht="15" customHeight="1" x14ac:dyDescent="0.3">
      <c r="A2" s="361"/>
      <c r="B2" s="356"/>
      <c r="C2" s="357"/>
      <c r="D2" s="358"/>
      <c r="E2" s="358"/>
      <c r="F2" s="359"/>
      <c r="G2" s="359"/>
    </row>
    <row r="3" spans="1:9" ht="15" customHeight="1" x14ac:dyDescent="0.3">
      <c r="A3" s="359"/>
      <c r="B3" s="362"/>
      <c r="C3" s="357"/>
      <c r="D3" s="358"/>
      <c r="E3" s="358"/>
      <c r="F3" s="359"/>
      <c r="G3" s="359"/>
    </row>
    <row r="4" spans="1:9" ht="15" customHeight="1" x14ac:dyDescent="0.3">
      <c r="A4" s="1445" t="s">
        <v>1178</v>
      </c>
      <c r="B4" s="1445"/>
      <c r="C4" s="1445"/>
      <c r="D4" s="1445"/>
      <c r="E4" s="1445"/>
      <c r="F4" s="1445"/>
      <c r="G4" s="1445"/>
    </row>
    <row r="5" spans="1:9" ht="15" customHeight="1" x14ac:dyDescent="0.3">
      <c r="A5" s="1445" t="s">
        <v>1194</v>
      </c>
      <c r="B5" s="1445"/>
      <c r="C5" s="1445"/>
      <c r="D5" s="1445"/>
      <c r="E5" s="1445"/>
      <c r="F5" s="1445"/>
      <c r="G5" s="1445"/>
    </row>
    <row r="6" spans="1:9" ht="15" customHeight="1" x14ac:dyDescent="0.3">
      <c r="A6" s="1445" t="str">
        <f>DG!C83</f>
        <v>OBIECT 8 - Amenajare teren sportiv</v>
      </c>
      <c r="B6" s="1445"/>
      <c r="C6" s="1445"/>
      <c r="D6" s="1445"/>
      <c r="E6" s="1445"/>
      <c r="F6" s="1445"/>
      <c r="G6" s="1445"/>
    </row>
    <row r="7" spans="1:9" ht="15" customHeight="1" x14ac:dyDescent="0.3">
      <c r="A7" s="359"/>
      <c r="B7" s="362"/>
      <c r="C7" s="357"/>
      <c r="D7" s="358"/>
      <c r="E7" s="358"/>
      <c r="F7" s="359"/>
      <c r="G7" s="359"/>
    </row>
    <row r="8" spans="1:9" ht="25.5" x14ac:dyDescent="0.25">
      <c r="A8" s="1446" t="s">
        <v>1179</v>
      </c>
      <c r="B8" s="1446" t="s">
        <v>1180</v>
      </c>
      <c r="C8" s="1446" t="s">
        <v>1181</v>
      </c>
      <c r="D8" s="1448" t="s">
        <v>1182</v>
      </c>
      <c r="E8" s="819" t="s">
        <v>1183</v>
      </c>
      <c r="F8" s="1446" t="s">
        <v>1184</v>
      </c>
      <c r="G8" s="1446" t="s">
        <v>1185</v>
      </c>
      <c r="I8" s="363"/>
    </row>
    <row r="9" spans="1:9" ht="15" customHeight="1" x14ac:dyDescent="0.25">
      <c r="A9" s="1450"/>
      <c r="B9" s="1450"/>
      <c r="C9" s="1450"/>
      <c r="D9" s="1451"/>
      <c r="E9" s="820" t="s">
        <v>1186</v>
      </c>
      <c r="F9" s="1450"/>
      <c r="G9" s="1450"/>
      <c r="I9" s="363"/>
    </row>
    <row r="10" spans="1:9" ht="15" customHeight="1" x14ac:dyDescent="0.3">
      <c r="A10" s="578">
        <v>1</v>
      </c>
      <c r="B10" s="578">
        <v>2</v>
      </c>
      <c r="C10" s="578">
        <v>3</v>
      </c>
      <c r="D10" s="579">
        <v>4</v>
      </c>
      <c r="E10" s="579">
        <v>5</v>
      </c>
      <c r="F10" s="578">
        <v>7</v>
      </c>
      <c r="G10" s="578">
        <v>6</v>
      </c>
    </row>
    <row r="11" spans="1:9" ht="75.75" customHeight="1" x14ac:dyDescent="0.3">
      <c r="A11" s="366">
        <v>1</v>
      </c>
      <c r="B11" s="558" t="s">
        <v>1779</v>
      </c>
      <c r="C11" s="531">
        <v>1</v>
      </c>
      <c r="D11" s="369">
        <v>124878</v>
      </c>
      <c r="E11" s="401">
        <f t="shared" ref="E11" si="0">C11*D11</f>
        <v>124878</v>
      </c>
      <c r="F11" s="367"/>
      <c r="G11" s="609" t="s">
        <v>1763</v>
      </c>
      <c r="H11" s="426"/>
    </row>
    <row r="12" spans="1:9" ht="14.45" x14ac:dyDescent="0.3">
      <c r="A12" s="1444" t="s">
        <v>545</v>
      </c>
      <c r="B12" s="1444"/>
      <c r="C12" s="1444"/>
      <c r="D12" s="1444"/>
      <c r="E12" s="370">
        <f>SUM(E11:E11)</f>
        <v>124878</v>
      </c>
      <c r="F12" s="1444" t="s">
        <v>1188</v>
      </c>
      <c r="G12" s="1444"/>
      <c r="H12" s="426"/>
    </row>
    <row r="13" spans="1:9" ht="15" customHeight="1" x14ac:dyDescent="0.3">
      <c r="A13" s="359"/>
      <c r="B13" s="371"/>
      <c r="C13" s="372"/>
      <c r="D13" s="358"/>
      <c r="E13" s="358"/>
      <c r="F13" s="359"/>
      <c r="G13" s="359"/>
    </row>
    <row r="14" spans="1:9" ht="15" customHeight="1" x14ac:dyDescent="0.25">
      <c r="A14" s="359"/>
      <c r="B14" s="362"/>
      <c r="C14" s="357"/>
      <c r="D14" s="358"/>
      <c r="E14" s="358"/>
      <c r="F14" s="359"/>
      <c r="G14" s="44" t="s">
        <v>82</v>
      </c>
    </row>
    <row r="15" spans="1:9" ht="15" customHeight="1" x14ac:dyDescent="0.25">
      <c r="A15" s="359"/>
      <c r="B15" s="371"/>
      <c r="C15" s="357"/>
      <c r="D15" s="358"/>
      <c r="E15" s="358"/>
      <c r="F15" s="359"/>
      <c r="G15" s="45" t="s">
        <v>1448</v>
      </c>
    </row>
    <row r="16" spans="1:9" ht="15" customHeight="1" x14ac:dyDescent="0.25">
      <c r="A16" s="359"/>
      <c r="B16" s="362"/>
      <c r="C16" s="357"/>
      <c r="D16" s="358"/>
      <c r="E16" s="358"/>
      <c r="F16" s="359"/>
      <c r="G16" s="44" t="e">
        <f>#REF!</f>
        <v>#REF!</v>
      </c>
    </row>
    <row r="17" spans="1:7" ht="15" customHeight="1" x14ac:dyDescent="0.25">
      <c r="A17" s="359"/>
      <c r="B17" s="371"/>
      <c r="C17" s="357"/>
      <c r="D17" s="358"/>
      <c r="E17" s="358"/>
      <c r="F17" s="359"/>
      <c r="G17" s="45" t="s">
        <v>83</v>
      </c>
    </row>
    <row r="18" spans="1:7" ht="15" customHeight="1" x14ac:dyDescent="0.25">
      <c r="A18" s="359"/>
      <c r="B18" s="362"/>
      <c r="C18" s="357"/>
      <c r="D18" s="358"/>
      <c r="E18" s="358"/>
      <c r="F18" s="359"/>
      <c r="G18" s="45" t="e">
        <f>#REF!</f>
        <v>#REF!</v>
      </c>
    </row>
    <row r="19" spans="1:7" ht="15" customHeight="1" x14ac:dyDescent="0.3">
      <c r="A19" s="359"/>
      <c r="B19" s="371"/>
      <c r="C19" s="357"/>
      <c r="D19" s="358"/>
      <c r="E19" s="358"/>
      <c r="F19" s="359"/>
      <c r="G19" s="359"/>
    </row>
    <row r="20" spans="1:7" ht="15" customHeight="1" x14ac:dyDescent="0.3"/>
    <row r="21" spans="1:7" ht="15" customHeight="1" x14ac:dyDescent="0.3">
      <c r="A21" s="373"/>
      <c r="C21" s="373"/>
      <c r="D21" s="523"/>
      <c r="E21" s="523"/>
      <c r="F21" s="373"/>
      <c r="G21" s="373"/>
    </row>
    <row r="22" spans="1:7" ht="15" customHeight="1" x14ac:dyDescent="0.3">
      <c r="A22" s="373"/>
      <c r="C22" s="373"/>
      <c r="D22" s="523"/>
      <c r="E22" s="523"/>
      <c r="F22" s="373"/>
      <c r="G22" s="373"/>
    </row>
    <row r="23" spans="1:7" ht="15" customHeight="1" x14ac:dyDescent="0.3">
      <c r="A23" s="524"/>
      <c r="C23" s="373"/>
      <c r="D23" s="523"/>
      <c r="E23" s="523"/>
      <c r="F23" s="373"/>
      <c r="G23" s="373"/>
    </row>
    <row r="24" spans="1:7" ht="15" customHeight="1" x14ac:dyDescent="0.3">
      <c r="A24" s="525"/>
      <c r="C24" s="373"/>
      <c r="D24" s="523"/>
      <c r="E24" s="523"/>
      <c r="F24" s="373"/>
      <c r="G24" s="389"/>
    </row>
    <row r="25" spans="1:7" ht="15" customHeight="1" x14ac:dyDescent="0.3">
      <c r="A25" s="527"/>
      <c r="C25" s="373"/>
      <c r="D25" s="523"/>
      <c r="E25" s="523"/>
      <c r="F25" s="373"/>
      <c r="G25" s="373"/>
    </row>
    <row r="26" spans="1:7" ht="15" customHeight="1" x14ac:dyDescent="0.3">
      <c r="A26" s="525"/>
      <c r="C26" s="373"/>
      <c r="D26" s="523"/>
      <c r="E26" s="523"/>
      <c r="F26" s="373"/>
      <c r="G26" s="373"/>
    </row>
    <row r="27" spans="1:7" ht="15" customHeight="1" x14ac:dyDescent="0.3">
      <c r="A27" s="525"/>
      <c r="C27" s="373"/>
      <c r="D27" s="523"/>
      <c r="E27" s="523"/>
      <c r="F27" s="373"/>
      <c r="G27" s="389"/>
    </row>
    <row r="28" spans="1:7" ht="15" customHeight="1" x14ac:dyDescent="0.3">
      <c r="A28" s="525"/>
      <c r="C28" s="373"/>
      <c r="D28" s="523"/>
      <c r="E28" s="523"/>
      <c r="F28" s="373"/>
      <c r="G28" s="373"/>
    </row>
    <row r="29" spans="1:7" ht="15" customHeight="1" x14ac:dyDescent="0.25">
      <c r="A29" s="525"/>
      <c r="C29" s="373"/>
      <c r="D29" s="523"/>
      <c r="E29" s="523"/>
      <c r="F29" s="373"/>
      <c r="G29" s="373"/>
    </row>
    <row r="30" spans="1:7" ht="15" customHeight="1" x14ac:dyDescent="0.25">
      <c r="A30" s="525"/>
      <c r="C30" s="373"/>
      <c r="D30" s="523"/>
      <c r="E30" s="523"/>
      <c r="F30" s="373"/>
      <c r="G30" s="389"/>
    </row>
    <row r="31" spans="1:7" ht="15" customHeight="1" x14ac:dyDescent="0.25">
      <c r="A31" s="525"/>
      <c r="C31" s="373"/>
      <c r="D31" s="523"/>
      <c r="E31" s="523"/>
      <c r="F31" s="373"/>
      <c r="G31" s="373"/>
    </row>
    <row r="32" spans="1:7" ht="15" customHeight="1" x14ac:dyDescent="0.25">
      <c r="A32" s="525"/>
      <c r="C32" s="373"/>
      <c r="D32" s="523"/>
      <c r="E32" s="523"/>
      <c r="F32" s="373"/>
      <c r="G32" s="389"/>
    </row>
    <row r="33" spans="1:15" ht="15" customHeight="1" x14ac:dyDescent="0.25">
      <c r="A33" s="525"/>
      <c r="C33" s="373"/>
      <c r="D33" s="523"/>
      <c r="E33" s="523"/>
      <c r="F33" s="373"/>
      <c r="G33" s="373"/>
    </row>
    <row r="34" spans="1:15" ht="15" customHeight="1" x14ac:dyDescent="0.25">
      <c r="A34" s="525"/>
      <c r="C34" s="373"/>
      <c r="D34" s="523"/>
      <c r="E34" s="523"/>
      <c r="F34" s="373"/>
      <c r="G34" s="389"/>
    </row>
    <row r="35" spans="1:15" ht="15" customHeight="1" x14ac:dyDescent="0.25">
      <c r="A35" s="525"/>
      <c r="C35" s="373"/>
      <c r="D35" s="523"/>
      <c r="E35" s="523"/>
      <c r="F35" s="373"/>
      <c r="G35" s="373"/>
    </row>
    <row r="36" spans="1:15" ht="15" customHeight="1" x14ac:dyDescent="0.25">
      <c r="A36" s="525"/>
      <c r="C36" s="373"/>
      <c r="D36" s="523"/>
      <c r="E36" s="523"/>
      <c r="F36" s="373"/>
      <c r="G36" s="373"/>
    </row>
    <row r="37" spans="1:15" ht="15" customHeight="1" x14ac:dyDescent="0.25">
      <c r="A37" s="525"/>
      <c r="C37" s="373"/>
      <c r="D37" s="523"/>
      <c r="E37" s="523"/>
      <c r="F37" s="373"/>
      <c r="G37" s="389"/>
    </row>
    <row r="38" spans="1:15" ht="15" customHeight="1" x14ac:dyDescent="0.25">
      <c r="A38" s="525"/>
      <c r="C38" s="373"/>
      <c r="D38" s="523"/>
      <c r="E38" s="523"/>
      <c r="F38" s="373"/>
      <c r="G38" s="373"/>
    </row>
    <row r="39" spans="1:15" ht="15" customHeight="1" x14ac:dyDescent="0.25">
      <c r="A39" s="525"/>
      <c r="C39" s="373"/>
      <c r="D39" s="523"/>
      <c r="E39" s="523"/>
      <c r="F39" s="373"/>
      <c r="G39" s="389"/>
      <c r="H39" s="374"/>
      <c r="I39" s="374"/>
      <c r="J39" s="374"/>
      <c r="K39" s="374"/>
      <c r="L39" s="374"/>
      <c r="M39" s="374"/>
      <c r="N39" s="374"/>
      <c r="O39" s="374"/>
    </row>
    <row r="40" spans="1:15" ht="15" customHeight="1" x14ac:dyDescent="0.25">
      <c r="A40" s="525"/>
      <c r="C40" s="373"/>
      <c r="D40" s="523"/>
      <c r="E40" s="523"/>
      <c r="F40" s="373"/>
      <c r="G40" s="373"/>
      <c r="H40" s="374"/>
      <c r="I40" s="374"/>
      <c r="J40" s="374"/>
      <c r="K40" s="374"/>
      <c r="L40" s="374"/>
      <c r="M40" s="374"/>
      <c r="N40" s="374"/>
      <c r="O40" s="374"/>
    </row>
    <row r="41" spans="1:15" ht="15" customHeight="1" x14ac:dyDescent="0.25">
      <c r="A41" s="525"/>
      <c r="C41" s="373"/>
      <c r="D41" s="523"/>
      <c r="E41" s="523"/>
      <c r="F41" s="373"/>
      <c r="G41" s="373"/>
      <c r="H41" s="374"/>
      <c r="I41" s="374"/>
      <c r="J41" s="374"/>
      <c r="K41" s="374"/>
      <c r="L41" s="374"/>
      <c r="M41" s="374"/>
      <c r="N41" s="374"/>
      <c r="O41" s="374"/>
    </row>
    <row r="42" spans="1:15" ht="15" customHeight="1" x14ac:dyDescent="0.25">
      <c r="A42" s="525"/>
      <c r="C42" s="373"/>
      <c r="D42" s="523"/>
      <c r="E42" s="523"/>
      <c r="F42" s="373"/>
      <c r="G42" s="389"/>
      <c r="H42" s="374"/>
      <c r="I42" s="374"/>
      <c r="J42" s="374"/>
      <c r="K42" s="374"/>
      <c r="L42" s="374"/>
      <c r="M42" s="374"/>
      <c r="N42" s="374"/>
      <c r="O42" s="374"/>
    </row>
    <row r="43" spans="1:15" ht="15" customHeight="1" x14ac:dyDescent="0.25">
      <c r="A43" s="525"/>
      <c r="B43" s="526"/>
      <c r="C43" s="373"/>
      <c r="D43" s="523"/>
      <c r="E43" s="523"/>
      <c r="F43" s="373"/>
      <c r="G43" s="389"/>
      <c r="H43" s="374"/>
      <c r="I43" s="374"/>
      <c r="J43" s="374"/>
      <c r="K43" s="374"/>
      <c r="L43" s="374"/>
      <c r="M43" s="374"/>
      <c r="N43" s="374"/>
      <c r="O43" s="374"/>
    </row>
    <row r="44" spans="1:15" ht="15" customHeight="1" x14ac:dyDescent="0.25">
      <c r="A44" s="525"/>
      <c r="C44" s="373"/>
      <c r="D44" s="523"/>
      <c r="E44" s="523"/>
      <c r="F44" s="373"/>
      <c r="G44" s="389"/>
      <c r="H44" s="374"/>
      <c r="I44" s="374"/>
      <c r="J44" s="374"/>
      <c r="K44" s="374"/>
      <c r="L44" s="374"/>
      <c r="M44" s="374"/>
      <c r="N44" s="374"/>
      <c r="O44" s="374"/>
    </row>
    <row r="45" spans="1:15" ht="15" customHeight="1" x14ac:dyDescent="0.25">
      <c r="A45" s="525"/>
      <c r="C45" s="373"/>
      <c r="D45" s="523"/>
      <c r="E45" s="523"/>
      <c r="F45" s="373"/>
      <c r="G45" s="389"/>
      <c r="H45" s="374"/>
      <c r="I45" s="374"/>
      <c r="J45" s="374"/>
      <c r="K45" s="374"/>
      <c r="L45" s="374"/>
      <c r="M45" s="374"/>
      <c r="N45" s="374"/>
      <c r="O45" s="374"/>
    </row>
    <row r="46" spans="1:15" ht="15" customHeight="1" x14ac:dyDescent="0.25">
      <c r="A46" s="525"/>
      <c r="C46" s="373"/>
      <c r="D46" s="523"/>
      <c r="E46" s="523"/>
      <c r="F46" s="373"/>
      <c r="G46" s="389"/>
      <c r="H46" s="374"/>
      <c r="I46" s="374"/>
      <c r="J46" s="374"/>
      <c r="K46" s="374"/>
      <c r="L46" s="374"/>
      <c r="M46" s="374"/>
      <c r="N46" s="374"/>
      <c r="O46" s="374"/>
    </row>
    <row r="47" spans="1:15" ht="15" customHeight="1" x14ac:dyDescent="0.25">
      <c r="A47" s="525"/>
      <c r="C47" s="373"/>
      <c r="D47" s="523"/>
      <c r="E47" s="523"/>
      <c r="F47" s="373"/>
      <c r="G47" s="389"/>
      <c r="H47" s="374"/>
      <c r="I47" s="374"/>
      <c r="J47" s="374"/>
      <c r="K47" s="374"/>
      <c r="L47" s="374"/>
      <c r="M47" s="374"/>
      <c r="N47" s="374"/>
      <c r="O47" s="374"/>
    </row>
    <row r="48" spans="1:15" ht="15" customHeight="1" x14ac:dyDescent="0.25">
      <c r="A48" s="525"/>
      <c r="C48" s="373"/>
      <c r="D48" s="523"/>
      <c r="E48" s="523"/>
      <c r="F48" s="373"/>
      <c r="G48" s="389"/>
      <c r="H48" s="374"/>
      <c r="I48" s="374"/>
      <c r="J48" s="374"/>
      <c r="K48" s="374"/>
      <c r="L48" s="374"/>
      <c r="M48" s="374"/>
      <c r="N48" s="374"/>
      <c r="O48" s="374"/>
    </row>
    <row r="49" spans="1:15" ht="15" customHeight="1" x14ac:dyDescent="0.25">
      <c r="A49" s="525"/>
      <c r="C49" s="373"/>
      <c r="D49" s="523"/>
      <c r="E49" s="523"/>
      <c r="F49" s="373"/>
      <c r="G49" s="389"/>
      <c r="H49" s="374"/>
      <c r="I49" s="374"/>
      <c r="J49" s="374"/>
      <c r="K49" s="374"/>
      <c r="L49" s="374"/>
      <c r="M49" s="374"/>
      <c r="N49" s="374"/>
      <c r="O49" s="374"/>
    </row>
    <row r="50" spans="1:15" ht="15" customHeight="1" x14ac:dyDescent="0.25">
      <c r="A50" s="376"/>
      <c r="B50" s="360"/>
      <c r="D50" s="380"/>
      <c r="E50" s="380"/>
      <c r="F50" s="374"/>
      <c r="G50" s="374"/>
      <c r="H50" s="374"/>
      <c r="I50" s="374"/>
      <c r="J50" s="374"/>
      <c r="K50" s="374"/>
      <c r="L50" s="374"/>
      <c r="M50" s="374"/>
      <c r="N50" s="374"/>
      <c r="O50" s="374"/>
    </row>
    <row r="51" spans="1:15" ht="15" customHeight="1" x14ac:dyDescent="0.25">
      <c r="A51" s="376"/>
      <c r="B51" s="360"/>
      <c r="D51" s="380"/>
      <c r="E51" s="380"/>
      <c r="F51" s="374"/>
      <c r="G51" s="374"/>
      <c r="H51" s="374"/>
      <c r="I51" s="374"/>
      <c r="J51" s="374"/>
      <c r="K51" s="374"/>
      <c r="L51" s="374"/>
      <c r="M51" s="374"/>
      <c r="N51" s="374"/>
      <c r="O51" s="374"/>
    </row>
    <row r="52" spans="1:15" ht="15" customHeight="1" x14ac:dyDescent="0.25">
      <c r="B52" s="360"/>
      <c r="D52" s="380"/>
      <c r="E52" s="380"/>
      <c r="F52" s="374"/>
      <c r="G52" s="374"/>
      <c r="H52" s="374"/>
      <c r="I52" s="374"/>
      <c r="J52" s="374"/>
      <c r="K52" s="374"/>
      <c r="L52" s="374"/>
      <c r="M52" s="374"/>
      <c r="N52" s="374"/>
      <c r="O52" s="374"/>
    </row>
    <row r="53" spans="1:15" ht="15" customHeight="1" x14ac:dyDescent="0.25">
      <c r="B53" s="360"/>
      <c r="D53" s="380"/>
      <c r="E53" s="380"/>
      <c r="F53" s="374"/>
      <c r="G53" s="374"/>
      <c r="H53" s="374"/>
      <c r="I53" s="374"/>
      <c r="J53" s="374"/>
      <c r="K53" s="374"/>
      <c r="L53" s="374"/>
      <c r="M53" s="374"/>
      <c r="N53" s="374"/>
      <c r="O53" s="374"/>
    </row>
    <row r="54" spans="1:15" ht="15" customHeight="1" x14ac:dyDescent="0.25">
      <c r="A54" s="376"/>
      <c r="B54" s="360"/>
      <c r="D54" s="380"/>
      <c r="E54" s="380"/>
      <c r="F54" s="374"/>
      <c r="G54" s="374"/>
      <c r="H54" s="374"/>
      <c r="I54" s="374"/>
      <c r="J54" s="374"/>
      <c r="K54" s="374"/>
      <c r="L54" s="374"/>
      <c r="M54" s="374"/>
      <c r="N54" s="374"/>
      <c r="O54" s="374"/>
    </row>
    <row r="55" spans="1:15" ht="15" customHeight="1" x14ac:dyDescent="0.25">
      <c r="A55" s="376"/>
      <c r="B55" s="360"/>
      <c r="D55" s="380"/>
      <c r="E55" s="380"/>
      <c r="F55" s="374"/>
      <c r="G55" s="374"/>
      <c r="H55" s="374"/>
      <c r="I55" s="374"/>
      <c r="J55" s="374"/>
      <c r="K55" s="374"/>
      <c r="L55" s="374"/>
      <c r="M55" s="374"/>
      <c r="N55" s="374"/>
      <c r="O55" s="374"/>
    </row>
    <row r="56" spans="1:15" ht="15" customHeight="1" x14ac:dyDescent="0.25">
      <c r="A56" s="376"/>
      <c r="B56" s="360"/>
      <c r="D56" s="380"/>
      <c r="E56" s="380"/>
      <c r="F56" s="374"/>
      <c r="G56" s="374"/>
      <c r="H56" s="374"/>
      <c r="I56" s="374"/>
      <c r="J56" s="374"/>
      <c r="K56" s="374"/>
      <c r="L56" s="374"/>
      <c r="M56" s="374"/>
      <c r="N56" s="374"/>
      <c r="O56" s="374"/>
    </row>
    <row r="57" spans="1:15" ht="15" customHeight="1" x14ac:dyDescent="0.25">
      <c r="A57" s="376"/>
      <c r="B57" s="360"/>
      <c r="D57" s="380"/>
      <c r="E57" s="380"/>
      <c r="F57" s="374"/>
      <c r="G57" s="374"/>
      <c r="H57" s="374"/>
      <c r="I57" s="374"/>
      <c r="J57" s="374"/>
      <c r="K57" s="374"/>
      <c r="L57" s="374"/>
      <c r="M57" s="374"/>
      <c r="N57" s="374"/>
      <c r="O57" s="374"/>
    </row>
    <row r="58" spans="1:15" ht="15" customHeight="1" x14ac:dyDescent="0.25">
      <c r="A58" s="376"/>
      <c r="B58" s="360"/>
      <c r="D58" s="380"/>
      <c r="E58" s="380"/>
      <c r="F58" s="374"/>
      <c r="G58" s="374"/>
      <c r="H58" s="374"/>
      <c r="I58" s="374"/>
      <c r="J58" s="374"/>
      <c r="K58" s="374"/>
      <c r="L58" s="374"/>
      <c r="M58" s="374"/>
      <c r="N58" s="374"/>
      <c r="O58" s="374"/>
    </row>
    <row r="59" spans="1:15" ht="15" customHeight="1" x14ac:dyDescent="0.25">
      <c r="A59" s="376"/>
      <c r="B59" s="360"/>
      <c r="D59" s="380"/>
      <c r="E59" s="380"/>
      <c r="F59" s="374"/>
      <c r="G59" s="374"/>
      <c r="H59" s="374"/>
      <c r="I59" s="374"/>
      <c r="J59" s="374"/>
      <c r="K59" s="374"/>
      <c r="L59" s="374"/>
      <c r="M59" s="374"/>
      <c r="N59" s="374"/>
      <c r="O59" s="374"/>
    </row>
    <row r="60" spans="1:15" ht="15" customHeight="1" x14ac:dyDescent="0.25">
      <c r="A60" s="376"/>
      <c r="D60" s="380"/>
      <c r="E60" s="380"/>
      <c r="F60" s="374"/>
      <c r="G60" s="374"/>
      <c r="H60" s="374"/>
      <c r="I60" s="374"/>
      <c r="J60" s="374"/>
      <c r="K60" s="374"/>
      <c r="L60" s="374"/>
      <c r="M60" s="374"/>
      <c r="N60" s="374"/>
      <c r="O60" s="374"/>
    </row>
    <row r="61" spans="1:15" ht="15" customHeight="1" x14ac:dyDescent="0.25">
      <c r="A61" s="376"/>
      <c r="D61" s="380"/>
      <c r="E61" s="380"/>
      <c r="F61" s="374"/>
      <c r="G61" s="374"/>
      <c r="H61" s="374"/>
      <c r="I61" s="374"/>
      <c r="J61" s="374"/>
      <c r="K61" s="374"/>
      <c r="L61" s="374"/>
      <c r="M61" s="374"/>
      <c r="N61" s="374"/>
      <c r="O61" s="374"/>
    </row>
    <row r="62" spans="1:15" ht="15" customHeight="1" x14ac:dyDescent="0.25">
      <c r="A62" s="376"/>
      <c r="B62" s="360"/>
      <c r="D62" s="380"/>
      <c r="E62" s="380"/>
      <c r="F62" s="374"/>
      <c r="G62" s="374"/>
      <c r="H62" s="374"/>
      <c r="I62" s="374"/>
      <c r="J62" s="374"/>
      <c r="K62" s="374"/>
      <c r="L62" s="374"/>
      <c r="M62" s="374"/>
      <c r="N62" s="374"/>
      <c r="O62" s="374"/>
    </row>
    <row r="63" spans="1:15" ht="15" customHeight="1" x14ac:dyDescent="0.25">
      <c r="A63" s="376"/>
      <c r="D63" s="380"/>
      <c r="E63" s="380"/>
      <c r="F63" s="374"/>
      <c r="G63" s="374"/>
      <c r="H63" s="374"/>
      <c r="I63" s="374"/>
      <c r="J63" s="374"/>
      <c r="K63" s="374"/>
      <c r="L63" s="374"/>
      <c r="M63" s="374"/>
      <c r="N63" s="374"/>
      <c r="O63" s="374"/>
    </row>
    <row r="64" spans="1:15" ht="15" customHeight="1" x14ac:dyDescent="0.25">
      <c r="A64" s="376"/>
      <c r="D64" s="380"/>
      <c r="E64" s="380"/>
      <c r="F64" s="374"/>
      <c r="G64" s="374"/>
      <c r="H64" s="374"/>
      <c r="I64" s="374"/>
      <c r="J64" s="374"/>
      <c r="K64" s="374"/>
      <c r="L64" s="374"/>
      <c r="M64" s="374"/>
      <c r="N64" s="374"/>
      <c r="O64" s="374"/>
    </row>
    <row r="65" spans="1:15" ht="15" customHeight="1" x14ac:dyDescent="0.25">
      <c r="A65" s="376"/>
      <c r="D65" s="380"/>
      <c r="E65" s="380"/>
      <c r="F65" s="374"/>
      <c r="G65" s="374"/>
      <c r="H65" s="374"/>
      <c r="I65" s="374"/>
      <c r="J65" s="374"/>
      <c r="K65" s="374"/>
      <c r="L65" s="374"/>
      <c r="M65" s="374"/>
      <c r="N65" s="374"/>
      <c r="O65" s="374"/>
    </row>
    <row r="66" spans="1:15" ht="15" customHeight="1" x14ac:dyDescent="0.25">
      <c r="A66" s="376"/>
      <c r="D66" s="380"/>
      <c r="E66" s="380"/>
      <c r="F66" s="374"/>
      <c r="G66" s="374"/>
      <c r="H66" s="374"/>
      <c r="I66" s="374"/>
      <c r="J66" s="374"/>
      <c r="K66" s="374"/>
      <c r="L66" s="374"/>
      <c r="M66" s="374"/>
      <c r="N66" s="374"/>
      <c r="O66" s="374"/>
    </row>
    <row r="67" spans="1:15" ht="15" customHeight="1" x14ac:dyDescent="0.25">
      <c r="A67" s="376"/>
      <c r="D67" s="380"/>
      <c r="E67" s="380"/>
      <c r="F67" s="374"/>
      <c r="G67" s="374"/>
      <c r="H67" s="374"/>
      <c r="I67" s="374"/>
      <c r="J67" s="374"/>
      <c r="K67" s="374"/>
      <c r="L67" s="374"/>
      <c r="M67" s="374"/>
      <c r="N67" s="374"/>
      <c r="O67" s="374"/>
    </row>
    <row r="68" spans="1:15" ht="15" customHeight="1" x14ac:dyDescent="0.25">
      <c r="A68" s="376"/>
      <c r="D68" s="380"/>
      <c r="E68" s="380"/>
      <c r="F68" s="374"/>
      <c r="G68" s="374"/>
      <c r="H68" s="374"/>
      <c r="I68" s="374"/>
      <c r="J68" s="374"/>
      <c r="K68" s="374"/>
      <c r="L68" s="374"/>
      <c r="M68" s="374"/>
      <c r="N68" s="374"/>
      <c r="O68" s="374"/>
    </row>
    <row r="69" spans="1:15" ht="15" customHeight="1" x14ac:dyDescent="0.25">
      <c r="A69" s="376"/>
      <c r="D69" s="380"/>
      <c r="E69" s="380"/>
      <c r="F69" s="374"/>
      <c r="G69" s="374"/>
      <c r="H69" s="374"/>
      <c r="I69" s="374"/>
      <c r="J69" s="374"/>
      <c r="K69" s="374"/>
      <c r="L69" s="374"/>
      <c r="M69" s="374"/>
      <c r="N69" s="374"/>
      <c r="O69" s="374"/>
    </row>
    <row r="70" spans="1:15" ht="15" customHeight="1" x14ac:dyDescent="0.25">
      <c r="B70" s="360"/>
      <c r="D70" s="380"/>
      <c r="E70" s="380"/>
      <c r="F70" s="374"/>
      <c r="G70" s="374"/>
      <c r="H70" s="374"/>
      <c r="I70" s="374"/>
      <c r="J70" s="374"/>
      <c r="K70" s="374"/>
      <c r="L70" s="374"/>
      <c r="M70" s="374"/>
      <c r="N70" s="374"/>
      <c r="O70" s="374"/>
    </row>
    <row r="71" spans="1:15" ht="15" customHeight="1" x14ac:dyDescent="0.25">
      <c r="B71" s="360"/>
      <c r="D71" s="380"/>
      <c r="E71" s="380"/>
      <c r="F71" s="374"/>
      <c r="G71" s="374"/>
      <c r="H71" s="374"/>
      <c r="I71" s="374"/>
      <c r="J71" s="374"/>
      <c r="K71" s="374"/>
      <c r="L71" s="374"/>
      <c r="M71" s="374"/>
      <c r="N71" s="374"/>
      <c r="O71" s="374"/>
    </row>
    <row r="72" spans="1:15" ht="15" customHeight="1" x14ac:dyDescent="0.25">
      <c r="B72" s="360"/>
      <c r="D72" s="380"/>
      <c r="E72" s="380"/>
      <c r="F72" s="374"/>
      <c r="G72" s="374"/>
      <c r="H72" s="374"/>
      <c r="I72" s="374"/>
      <c r="J72" s="374"/>
      <c r="K72" s="374"/>
      <c r="L72" s="374"/>
      <c r="M72" s="374"/>
      <c r="N72" s="374"/>
      <c r="O72" s="374"/>
    </row>
    <row r="73" spans="1:15" ht="15" customHeight="1" x14ac:dyDescent="0.25">
      <c r="A73" s="376"/>
      <c r="B73" s="360"/>
      <c r="D73" s="380"/>
      <c r="E73" s="380"/>
      <c r="F73" s="374"/>
      <c r="G73" s="374"/>
      <c r="H73" s="374"/>
      <c r="I73" s="374"/>
      <c r="J73" s="374"/>
      <c r="K73" s="374"/>
      <c r="L73" s="374"/>
      <c r="M73" s="374"/>
      <c r="N73" s="374"/>
      <c r="O73" s="374"/>
    </row>
    <row r="74" spans="1:15" ht="15" customHeight="1" x14ac:dyDescent="0.25">
      <c r="A74" s="376"/>
      <c r="B74" s="360"/>
      <c r="D74" s="380"/>
      <c r="E74" s="380"/>
      <c r="F74" s="374"/>
      <c r="G74" s="374"/>
      <c r="H74" s="374"/>
      <c r="I74" s="374"/>
      <c r="J74" s="374"/>
      <c r="K74" s="374"/>
      <c r="L74" s="374"/>
      <c r="M74" s="374"/>
      <c r="N74" s="374"/>
      <c r="O74" s="374"/>
    </row>
    <row r="75" spans="1:15" ht="15" customHeight="1" x14ac:dyDescent="0.25">
      <c r="A75" s="376"/>
      <c r="B75" s="360"/>
      <c r="D75" s="380"/>
      <c r="E75" s="380"/>
      <c r="F75" s="374"/>
      <c r="G75" s="374"/>
      <c r="H75" s="374"/>
      <c r="I75" s="374"/>
      <c r="J75" s="374"/>
      <c r="K75" s="374"/>
      <c r="L75" s="374"/>
      <c r="M75" s="374"/>
      <c r="N75" s="374"/>
      <c r="O75" s="374"/>
    </row>
    <row r="76" spans="1:15" ht="15" customHeight="1" x14ac:dyDescent="0.25">
      <c r="A76" s="376"/>
      <c r="B76" s="360"/>
      <c r="D76" s="380"/>
      <c r="E76" s="380"/>
      <c r="F76" s="374"/>
      <c r="G76" s="374"/>
      <c r="H76" s="374"/>
      <c r="I76" s="374"/>
      <c r="J76" s="374"/>
      <c r="K76" s="374"/>
      <c r="L76" s="374"/>
      <c r="M76" s="374"/>
      <c r="N76" s="374"/>
      <c r="O76" s="374"/>
    </row>
    <row r="77" spans="1:15" ht="15" customHeight="1" x14ac:dyDescent="0.25">
      <c r="A77" s="376"/>
      <c r="B77" s="360"/>
      <c r="D77" s="380"/>
      <c r="E77" s="380"/>
      <c r="F77" s="374"/>
      <c r="G77" s="374"/>
      <c r="H77" s="374"/>
      <c r="I77" s="374"/>
      <c r="J77" s="374"/>
      <c r="K77" s="374"/>
      <c r="L77" s="374"/>
      <c r="M77" s="374"/>
      <c r="N77" s="374"/>
      <c r="O77" s="374"/>
    </row>
    <row r="78" spans="1:15" ht="15" customHeight="1" x14ac:dyDescent="0.25">
      <c r="A78" s="376"/>
      <c r="B78" s="360"/>
      <c r="D78" s="380"/>
      <c r="E78" s="380"/>
      <c r="F78" s="374"/>
      <c r="G78" s="374"/>
      <c r="H78" s="374"/>
      <c r="I78" s="374"/>
      <c r="J78" s="374"/>
      <c r="K78" s="374"/>
      <c r="L78" s="374"/>
      <c r="M78" s="374"/>
      <c r="N78" s="374"/>
      <c r="O78" s="374"/>
    </row>
    <row r="79" spans="1:15" ht="15" customHeight="1" x14ac:dyDescent="0.25">
      <c r="A79" s="376"/>
      <c r="B79" s="360"/>
      <c r="D79" s="380"/>
      <c r="E79" s="380"/>
      <c r="F79" s="374"/>
      <c r="G79" s="374"/>
      <c r="H79" s="374"/>
      <c r="I79" s="374"/>
      <c r="J79" s="374"/>
      <c r="K79" s="374"/>
      <c r="L79" s="374"/>
      <c r="M79" s="374"/>
      <c r="N79" s="374"/>
      <c r="O79" s="374"/>
    </row>
    <row r="80" spans="1:15" ht="15" customHeight="1" x14ac:dyDescent="0.25">
      <c r="A80" s="376"/>
      <c r="B80" s="360"/>
      <c r="D80" s="380"/>
      <c r="E80" s="380"/>
      <c r="F80" s="374"/>
      <c r="G80" s="374"/>
      <c r="H80" s="374"/>
      <c r="I80" s="374"/>
      <c r="J80" s="374"/>
      <c r="K80" s="374"/>
      <c r="L80" s="374"/>
      <c r="M80" s="374"/>
      <c r="N80" s="374"/>
      <c r="O80" s="374"/>
    </row>
    <row r="81" spans="1:16" ht="15" customHeight="1" x14ac:dyDescent="0.25">
      <c r="B81" s="360"/>
      <c r="D81" s="380"/>
      <c r="E81" s="380"/>
      <c r="F81" s="374"/>
      <c r="G81" s="374"/>
      <c r="H81" s="374"/>
      <c r="I81" s="374"/>
      <c r="J81" s="374"/>
      <c r="K81" s="374"/>
      <c r="L81" s="374"/>
      <c r="M81" s="374"/>
      <c r="N81" s="374"/>
      <c r="O81" s="374"/>
    </row>
    <row r="82" spans="1:16" ht="15" customHeight="1" x14ac:dyDescent="0.25">
      <c r="C82" s="381"/>
      <c r="D82" s="382"/>
      <c r="H82" s="374"/>
      <c r="I82" s="374"/>
      <c r="J82" s="374"/>
      <c r="K82" s="374"/>
      <c r="L82" s="374"/>
      <c r="M82" s="374"/>
      <c r="N82" s="374"/>
      <c r="O82" s="374"/>
    </row>
    <row r="83" spans="1:16" ht="15" customHeight="1" x14ac:dyDescent="0.25">
      <c r="A83" s="376"/>
      <c r="C83" s="381"/>
      <c r="D83" s="382"/>
    </row>
    <row r="84" spans="1:16" s="375" customFormat="1" ht="15" customHeight="1" x14ac:dyDescent="0.25">
      <c r="A84" s="376"/>
      <c r="B84" s="373"/>
      <c r="C84" s="381"/>
      <c r="D84" s="382"/>
      <c r="F84" s="360"/>
      <c r="G84" s="360"/>
      <c r="H84" s="360"/>
      <c r="I84" s="360"/>
      <c r="J84" s="360"/>
      <c r="K84" s="360"/>
      <c r="L84" s="360"/>
      <c r="M84" s="360"/>
      <c r="N84" s="360"/>
      <c r="O84" s="360"/>
      <c r="P84" s="360"/>
    </row>
    <row r="85" spans="1:16" s="375" customFormat="1" ht="15" customHeight="1" x14ac:dyDescent="0.25">
      <c r="A85" s="376"/>
      <c r="B85" s="373"/>
      <c r="C85" s="381"/>
      <c r="D85" s="382"/>
      <c r="F85" s="360"/>
      <c r="G85" s="360"/>
      <c r="H85" s="360"/>
      <c r="I85" s="360"/>
      <c r="J85" s="360"/>
      <c r="K85" s="360"/>
      <c r="L85" s="360"/>
      <c r="M85" s="360"/>
      <c r="N85" s="360"/>
      <c r="O85" s="360"/>
      <c r="P85" s="360"/>
    </row>
    <row r="86" spans="1:16" s="375" customFormat="1" ht="15" customHeight="1" x14ac:dyDescent="0.25">
      <c r="A86" s="376"/>
      <c r="B86" s="360"/>
      <c r="C86" s="381"/>
      <c r="D86" s="382"/>
      <c r="F86" s="360"/>
      <c r="G86" s="360"/>
      <c r="H86" s="360"/>
      <c r="I86" s="360"/>
      <c r="J86" s="360"/>
      <c r="K86" s="360"/>
      <c r="L86" s="360"/>
      <c r="M86" s="360"/>
      <c r="N86" s="360"/>
      <c r="O86" s="360"/>
      <c r="P86" s="360"/>
    </row>
    <row r="87" spans="1:16" s="375" customFormat="1" ht="15" customHeight="1" x14ac:dyDescent="0.25">
      <c r="A87" s="376"/>
      <c r="B87" s="360"/>
      <c r="C87" s="381"/>
      <c r="D87" s="382"/>
      <c r="F87" s="360"/>
      <c r="G87" s="360"/>
      <c r="H87" s="360"/>
      <c r="I87" s="360"/>
      <c r="J87" s="360"/>
      <c r="K87" s="360"/>
      <c r="L87" s="360"/>
      <c r="M87" s="360"/>
      <c r="N87" s="360"/>
      <c r="O87" s="360"/>
      <c r="P87" s="360"/>
    </row>
    <row r="88" spans="1:16" s="375" customFormat="1" ht="15" customHeight="1" x14ac:dyDescent="0.25">
      <c r="A88" s="376"/>
      <c r="B88" s="360"/>
      <c r="C88" s="381"/>
      <c r="D88" s="382"/>
      <c r="F88" s="360"/>
      <c r="G88" s="360"/>
      <c r="H88" s="360"/>
      <c r="I88" s="360"/>
      <c r="J88" s="360"/>
      <c r="K88" s="360"/>
      <c r="L88" s="360"/>
      <c r="M88" s="360"/>
      <c r="N88" s="360"/>
      <c r="O88" s="360"/>
      <c r="P88" s="360"/>
    </row>
    <row r="89" spans="1:16" s="375" customFormat="1" ht="15" customHeight="1" x14ac:dyDescent="0.25">
      <c r="A89" s="376"/>
      <c r="B89" s="373"/>
      <c r="C89" s="374"/>
      <c r="D89" s="382"/>
      <c r="F89" s="360"/>
      <c r="G89" s="360"/>
      <c r="H89" s="360"/>
      <c r="I89" s="360"/>
      <c r="J89" s="360"/>
      <c r="K89" s="360"/>
      <c r="L89" s="360"/>
      <c r="M89" s="360"/>
      <c r="N89" s="360"/>
      <c r="O89" s="360"/>
      <c r="P89" s="360"/>
    </row>
    <row r="90" spans="1:16" s="375" customFormat="1" ht="15" customHeight="1" x14ac:dyDescent="0.25">
      <c r="A90" s="376"/>
      <c r="B90" s="373"/>
      <c r="C90" s="374"/>
      <c r="D90" s="382"/>
      <c r="F90" s="360"/>
      <c r="G90" s="360"/>
      <c r="H90" s="360"/>
      <c r="I90" s="360"/>
      <c r="J90" s="360"/>
      <c r="K90" s="360"/>
      <c r="L90" s="360"/>
      <c r="M90" s="360"/>
      <c r="N90" s="360"/>
      <c r="O90" s="360"/>
      <c r="P90" s="360"/>
    </row>
    <row r="91" spans="1:16" s="375" customFormat="1" ht="15" customHeight="1" x14ac:dyDescent="0.25">
      <c r="A91" s="376"/>
      <c r="B91" s="373"/>
      <c r="C91" s="381"/>
      <c r="D91" s="382"/>
      <c r="F91" s="360"/>
      <c r="G91" s="360"/>
      <c r="H91" s="360"/>
      <c r="I91" s="360"/>
      <c r="J91" s="360"/>
      <c r="K91" s="360"/>
      <c r="L91" s="360"/>
      <c r="M91" s="360"/>
      <c r="N91" s="360"/>
      <c r="O91" s="360"/>
      <c r="P91" s="360"/>
    </row>
    <row r="92" spans="1:16" s="375" customFormat="1" ht="15" customHeight="1" x14ac:dyDescent="0.25">
      <c r="A92" s="376"/>
      <c r="B92" s="360"/>
      <c r="C92" s="381"/>
      <c r="D92" s="382"/>
      <c r="F92" s="360"/>
      <c r="G92" s="360"/>
      <c r="H92" s="360"/>
      <c r="I92" s="360"/>
      <c r="J92" s="360"/>
      <c r="K92" s="360"/>
      <c r="L92" s="360"/>
      <c r="M92" s="360"/>
      <c r="N92" s="360"/>
      <c r="O92" s="360"/>
      <c r="P92" s="360"/>
    </row>
    <row r="93" spans="1:16" s="375" customFormat="1" ht="15" customHeight="1" x14ac:dyDescent="0.25">
      <c r="A93" s="376"/>
      <c r="B93" s="373"/>
      <c r="C93" s="381"/>
      <c r="D93" s="382"/>
      <c r="F93" s="360"/>
      <c r="G93" s="360"/>
      <c r="H93" s="360"/>
      <c r="I93" s="360"/>
      <c r="J93" s="360"/>
      <c r="K93" s="360"/>
      <c r="L93" s="360"/>
      <c r="M93" s="360"/>
      <c r="N93" s="360"/>
      <c r="O93" s="360"/>
      <c r="P93" s="360"/>
    </row>
    <row r="94" spans="1:16" s="375" customFormat="1" ht="15" customHeight="1" x14ac:dyDescent="0.25">
      <c r="A94" s="376"/>
      <c r="B94" s="360"/>
      <c r="C94" s="381"/>
      <c r="D94" s="382"/>
      <c r="F94" s="360"/>
      <c r="G94" s="360"/>
      <c r="H94" s="360"/>
      <c r="I94" s="360"/>
      <c r="J94" s="360"/>
      <c r="K94" s="360"/>
      <c r="L94" s="360"/>
      <c r="M94" s="360"/>
      <c r="N94" s="360"/>
      <c r="O94" s="360"/>
      <c r="P94" s="360"/>
    </row>
    <row r="95" spans="1:16" s="375" customFormat="1" ht="15" customHeight="1" x14ac:dyDescent="0.25">
      <c r="A95" s="376"/>
      <c r="B95" s="373"/>
      <c r="C95" s="381"/>
      <c r="D95" s="382"/>
      <c r="F95" s="360"/>
      <c r="G95" s="360"/>
      <c r="H95" s="360"/>
      <c r="I95" s="360"/>
      <c r="J95" s="360"/>
      <c r="K95" s="360"/>
      <c r="L95" s="360"/>
      <c r="M95" s="360"/>
      <c r="N95" s="360"/>
      <c r="O95" s="360"/>
      <c r="P95" s="360"/>
    </row>
    <row r="96" spans="1:16" s="375" customFormat="1" ht="15" customHeight="1" x14ac:dyDescent="0.25">
      <c r="A96" s="376"/>
      <c r="B96" s="373"/>
      <c r="C96" s="381"/>
      <c r="D96" s="382"/>
      <c r="F96" s="360"/>
      <c r="G96" s="360"/>
      <c r="H96" s="360"/>
      <c r="I96" s="360"/>
      <c r="J96" s="360"/>
      <c r="K96" s="360"/>
      <c r="L96" s="360"/>
      <c r="M96" s="360"/>
      <c r="N96" s="360"/>
      <c r="O96" s="360"/>
      <c r="P96" s="360"/>
    </row>
    <row r="97" spans="1:16" s="375" customFormat="1" ht="15" customHeight="1" x14ac:dyDescent="0.25">
      <c r="A97" s="360"/>
      <c r="B97" s="373"/>
      <c r="C97" s="381"/>
      <c r="D97" s="382"/>
      <c r="F97" s="360"/>
      <c r="G97" s="360"/>
      <c r="H97" s="360"/>
      <c r="I97" s="360"/>
      <c r="J97" s="360"/>
      <c r="K97" s="360"/>
      <c r="L97" s="360"/>
      <c r="M97" s="360"/>
      <c r="N97" s="360"/>
      <c r="O97" s="360"/>
      <c r="P97" s="360"/>
    </row>
    <row r="98" spans="1:16" s="375" customFormat="1" ht="15" customHeight="1" x14ac:dyDescent="0.25">
      <c r="A98" s="360"/>
      <c r="B98" s="373"/>
      <c r="C98" s="381"/>
      <c r="D98" s="382"/>
      <c r="F98" s="360"/>
      <c r="G98" s="360"/>
      <c r="H98" s="360"/>
      <c r="I98" s="360"/>
      <c r="J98" s="360"/>
      <c r="K98" s="360"/>
      <c r="L98" s="360"/>
      <c r="M98" s="360"/>
      <c r="N98" s="360"/>
      <c r="O98" s="360"/>
      <c r="P98" s="360"/>
    </row>
    <row r="99" spans="1:16" s="375" customFormat="1" ht="15" customHeight="1" x14ac:dyDescent="0.25">
      <c r="A99" s="360"/>
      <c r="B99" s="373"/>
      <c r="C99" s="381"/>
      <c r="D99" s="382"/>
      <c r="F99" s="360"/>
      <c r="G99" s="360"/>
      <c r="H99" s="360"/>
      <c r="I99" s="360"/>
      <c r="J99" s="360"/>
      <c r="K99" s="360"/>
      <c r="L99" s="360"/>
      <c r="M99" s="360"/>
      <c r="N99" s="360"/>
      <c r="O99" s="360"/>
      <c r="P99" s="360"/>
    </row>
    <row r="100" spans="1:16" ht="15" customHeight="1" x14ac:dyDescent="0.25">
      <c r="C100" s="381"/>
      <c r="D100" s="382"/>
    </row>
    <row r="101" spans="1:16" ht="15" customHeight="1" x14ac:dyDescent="0.25">
      <c r="C101" s="381"/>
      <c r="D101" s="382"/>
    </row>
    <row r="102" spans="1:16" ht="15" customHeight="1" x14ac:dyDescent="0.25">
      <c r="C102" s="381"/>
      <c r="D102" s="382"/>
    </row>
    <row r="103" spans="1:16" ht="15" customHeight="1" x14ac:dyDescent="0.25">
      <c r="C103" s="381"/>
      <c r="D103" s="382"/>
    </row>
    <row r="104" spans="1:16" ht="15" customHeight="1" x14ac:dyDescent="0.25">
      <c r="C104" s="381"/>
      <c r="D104" s="382"/>
    </row>
    <row r="105" spans="1:16" ht="15" customHeight="1" x14ac:dyDescent="0.25">
      <c r="C105" s="381"/>
      <c r="D105" s="382"/>
    </row>
    <row r="106" spans="1:16" ht="15" customHeight="1" x14ac:dyDescent="0.25">
      <c r="C106" s="381"/>
      <c r="D106" s="382"/>
    </row>
    <row r="107" spans="1:16" ht="15" customHeight="1" x14ac:dyDescent="0.25">
      <c r="B107" s="360"/>
      <c r="C107" s="381"/>
      <c r="D107" s="382"/>
    </row>
    <row r="108" spans="1:16" ht="15" customHeight="1" x14ac:dyDescent="0.25">
      <c r="A108" s="383"/>
      <c r="B108" s="360"/>
      <c r="C108" s="384"/>
      <c r="D108" s="380"/>
      <c r="F108" s="385"/>
      <c r="G108" s="385"/>
    </row>
    <row r="109" spans="1:16" ht="15" customHeight="1" x14ac:dyDescent="0.25">
      <c r="A109" s="383"/>
      <c r="B109" s="386"/>
      <c r="C109" s="384"/>
      <c r="D109" s="380"/>
      <c r="E109" s="380"/>
      <c r="F109" s="387"/>
      <c r="G109" s="387"/>
      <c r="H109" s="385"/>
      <c r="I109" s="385"/>
      <c r="J109" s="385"/>
      <c r="K109" s="385"/>
      <c r="L109" s="385"/>
      <c r="M109" s="385"/>
      <c r="N109" s="385"/>
      <c r="O109" s="385"/>
    </row>
    <row r="110" spans="1:16" ht="15" customHeight="1" x14ac:dyDescent="0.25">
      <c r="A110" s="383"/>
      <c r="B110" s="386"/>
      <c r="C110" s="384"/>
      <c r="F110" s="385"/>
      <c r="G110" s="385"/>
      <c r="H110" s="387"/>
      <c r="I110" s="387"/>
      <c r="J110" s="387"/>
      <c r="K110" s="387"/>
      <c r="L110" s="387"/>
      <c r="M110" s="387"/>
      <c r="N110" s="387"/>
      <c r="O110" s="387"/>
    </row>
    <row r="111" spans="1:16" ht="15" customHeight="1" x14ac:dyDescent="0.25">
      <c r="A111" s="383"/>
      <c r="B111" s="386"/>
      <c r="C111" s="384"/>
      <c r="F111" s="385"/>
      <c r="G111" s="385"/>
      <c r="H111" s="385"/>
      <c r="I111" s="385"/>
      <c r="J111" s="385"/>
      <c r="K111" s="385"/>
      <c r="L111" s="385"/>
      <c r="M111" s="385"/>
      <c r="N111" s="385"/>
      <c r="O111" s="385"/>
    </row>
    <row r="112" spans="1:16" ht="15" customHeight="1" x14ac:dyDescent="0.25">
      <c r="A112" s="383"/>
      <c r="C112" s="384"/>
      <c r="F112" s="385"/>
      <c r="G112" s="385"/>
      <c r="H112" s="385"/>
      <c r="I112" s="385"/>
      <c r="J112" s="385"/>
      <c r="K112" s="385"/>
      <c r="L112" s="385"/>
      <c r="M112" s="385"/>
      <c r="N112" s="385"/>
      <c r="O112" s="385"/>
    </row>
    <row r="113" spans="1:15" ht="15" customHeight="1" x14ac:dyDescent="0.25">
      <c r="A113" s="383"/>
      <c r="C113" s="384"/>
      <c r="F113" s="385"/>
      <c r="G113" s="385"/>
      <c r="H113" s="385"/>
      <c r="I113" s="385"/>
      <c r="J113" s="385"/>
      <c r="K113" s="385"/>
      <c r="L113" s="385"/>
      <c r="M113" s="385"/>
      <c r="N113" s="385"/>
      <c r="O113" s="385"/>
    </row>
    <row r="114" spans="1:15" ht="15" customHeight="1" x14ac:dyDescent="0.25">
      <c r="A114" s="383"/>
      <c r="B114" s="388"/>
      <c r="C114" s="384"/>
      <c r="F114" s="385"/>
      <c r="G114" s="385"/>
      <c r="H114" s="385"/>
      <c r="I114" s="385"/>
      <c r="J114" s="385"/>
      <c r="K114" s="385"/>
      <c r="L114" s="385"/>
      <c r="M114" s="385"/>
      <c r="N114" s="385"/>
      <c r="O114" s="385"/>
    </row>
    <row r="115" spans="1:15" ht="15" customHeight="1" x14ac:dyDescent="0.25">
      <c r="A115" s="383"/>
      <c r="C115" s="384"/>
      <c r="F115" s="385"/>
      <c r="G115" s="385"/>
      <c r="H115" s="385"/>
      <c r="I115" s="385"/>
      <c r="J115" s="385"/>
      <c r="K115" s="385"/>
      <c r="L115" s="385"/>
      <c r="M115" s="385"/>
      <c r="N115" s="385"/>
      <c r="O115" s="385"/>
    </row>
    <row r="116" spans="1:15" ht="15" customHeight="1" x14ac:dyDescent="0.25">
      <c r="A116" s="383"/>
      <c r="B116" s="386"/>
      <c r="C116" s="384"/>
      <c r="F116" s="385"/>
      <c r="G116" s="385"/>
      <c r="H116" s="385"/>
      <c r="I116" s="385"/>
      <c r="J116" s="385"/>
      <c r="K116" s="385"/>
      <c r="L116" s="385"/>
      <c r="M116" s="385"/>
      <c r="N116" s="385"/>
      <c r="O116" s="385"/>
    </row>
    <row r="117" spans="1:15" ht="15" customHeight="1" x14ac:dyDescent="0.25">
      <c r="A117" s="383"/>
      <c r="B117" s="386"/>
      <c r="C117" s="384"/>
      <c r="F117" s="385"/>
      <c r="G117" s="385"/>
      <c r="H117" s="385"/>
      <c r="I117" s="385"/>
      <c r="J117" s="385"/>
      <c r="K117" s="385"/>
      <c r="L117" s="385"/>
      <c r="M117" s="385"/>
      <c r="N117" s="385"/>
      <c r="O117" s="385"/>
    </row>
    <row r="118" spans="1:15" ht="15" customHeight="1" x14ac:dyDescent="0.25">
      <c r="A118" s="383"/>
      <c r="B118" s="386"/>
      <c r="C118" s="384"/>
      <c r="F118" s="385"/>
      <c r="G118" s="385"/>
      <c r="H118" s="385"/>
      <c r="I118" s="385"/>
      <c r="J118" s="385"/>
      <c r="K118" s="385"/>
      <c r="L118" s="385"/>
      <c r="M118" s="385"/>
      <c r="N118" s="385"/>
      <c r="O118" s="385"/>
    </row>
    <row r="119" spans="1:15" ht="15" customHeight="1" x14ac:dyDescent="0.25">
      <c r="A119" s="383"/>
      <c r="B119" s="386"/>
      <c r="C119" s="384"/>
      <c r="F119" s="385"/>
      <c r="G119" s="385"/>
      <c r="H119" s="385"/>
      <c r="I119" s="385"/>
      <c r="J119" s="385"/>
      <c r="K119" s="385"/>
      <c r="L119" s="385"/>
      <c r="M119" s="385"/>
      <c r="N119" s="385"/>
      <c r="O119" s="385"/>
    </row>
    <row r="120" spans="1:15" ht="15" customHeight="1" x14ac:dyDescent="0.25">
      <c r="A120" s="383"/>
      <c r="B120" s="386"/>
      <c r="C120" s="384"/>
      <c r="F120" s="385"/>
      <c r="G120" s="385"/>
      <c r="H120" s="385"/>
      <c r="I120" s="385"/>
      <c r="J120" s="385"/>
      <c r="K120" s="385"/>
      <c r="L120" s="385"/>
      <c r="M120" s="385"/>
      <c r="N120" s="385"/>
      <c r="O120" s="385"/>
    </row>
    <row r="121" spans="1:15" ht="15" customHeight="1" x14ac:dyDescent="0.25">
      <c r="A121" s="383"/>
      <c r="B121" s="386"/>
      <c r="C121" s="384"/>
      <c r="F121" s="385"/>
      <c r="G121" s="385"/>
      <c r="H121" s="385"/>
      <c r="I121" s="385"/>
      <c r="J121" s="385"/>
      <c r="K121" s="385"/>
      <c r="L121" s="385"/>
      <c r="M121" s="385"/>
      <c r="N121" s="385"/>
      <c r="O121" s="385"/>
    </row>
    <row r="122" spans="1:15" ht="15" customHeight="1" x14ac:dyDescent="0.25">
      <c r="C122" s="384"/>
      <c r="F122" s="385"/>
      <c r="G122" s="385"/>
      <c r="H122" s="385"/>
      <c r="I122" s="385"/>
      <c r="J122" s="385"/>
      <c r="K122" s="385"/>
      <c r="L122" s="385"/>
      <c r="M122" s="385"/>
      <c r="N122" s="385"/>
      <c r="O122" s="385"/>
    </row>
    <row r="123" spans="1:15" ht="15" customHeight="1" x14ac:dyDescent="0.25">
      <c r="B123" s="386"/>
      <c r="C123" s="384"/>
      <c r="F123" s="385"/>
      <c r="G123" s="385"/>
      <c r="H123" s="385"/>
      <c r="I123" s="385"/>
      <c r="J123" s="385"/>
      <c r="K123" s="385"/>
      <c r="L123" s="385"/>
      <c r="M123" s="385"/>
      <c r="N123" s="385"/>
      <c r="O123" s="385"/>
    </row>
    <row r="124" spans="1:15" ht="15" customHeight="1" x14ac:dyDescent="0.25">
      <c r="B124" s="386"/>
      <c r="C124" s="384"/>
      <c r="F124" s="385"/>
      <c r="G124" s="385"/>
      <c r="H124" s="385"/>
      <c r="I124" s="385"/>
      <c r="J124" s="385"/>
      <c r="K124" s="385"/>
      <c r="L124" s="385"/>
      <c r="M124" s="385"/>
      <c r="N124" s="385"/>
      <c r="O124" s="385"/>
    </row>
    <row r="125" spans="1:15" ht="15" customHeight="1" x14ac:dyDescent="0.25">
      <c r="B125" s="386"/>
      <c r="C125" s="384"/>
      <c r="F125" s="385"/>
      <c r="G125" s="385"/>
      <c r="H125" s="385"/>
      <c r="I125" s="385"/>
      <c r="J125" s="385"/>
      <c r="K125" s="385"/>
      <c r="L125" s="385"/>
      <c r="M125" s="385"/>
      <c r="N125" s="385"/>
      <c r="O125" s="385"/>
    </row>
    <row r="126" spans="1:15" ht="15" customHeight="1" x14ac:dyDescent="0.25">
      <c r="B126" s="388"/>
      <c r="C126" s="384"/>
      <c r="F126" s="385"/>
      <c r="G126" s="385"/>
      <c r="H126" s="385"/>
      <c r="I126" s="385"/>
      <c r="J126" s="385"/>
      <c r="K126" s="385"/>
      <c r="L126" s="385"/>
      <c r="M126" s="385"/>
      <c r="N126" s="385"/>
      <c r="O126" s="385"/>
    </row>
    <row r="127" spans="1:15" ht="15" customHeight="1" x14ac:dyDescent="0.25">
      <c r="B127" s="386"/>
      <c r="C127" s="384"/>
      <c r="F127" s="385"/>
      <c r="G127" s="385"/>
      <c r="H127" s="385"/>
      <c r="I127" s="385"/>
      <c r="J127" s="385"/>
      <c r="K127" s="385"/>
      <c r="L127" s="385"/>
      <c r="M127" s="385"/>
      <c r="N127" s="385"/>
      <c r="O127" s="385"/>
    </row>
    <row r="128" spans="1:15" ht="15" customHeight="1" x14ac:dyDescent="0.25">
      <c r="B128" s="386"/>
      <c r="C128" s="384"/>
      <c r="F128" s="385"/>
      <c r="G128" s="385"/>
      <c r="H128" s="385"/>
      <c r="I128" s="385"/>
      <c r="J128" s="385"/>
      <c r="K128" s="385"/>
      <c r="L128" s="385"/>
      <c r="M128" s="385"/>
      <c r="N128" s="385"/>
      <c r="O128" s="385"/>
    </row>
    <row r="129" spans="2:15" ht="15" customHeight="1" x14ac:dyDescent="0.25">
      <c r="B129" s="386"/>
      <c r="C129" s="384"/>
      <c r="F129" s="385"/>
      <c r="G129" s="385"/>
      <c r="H129" s="385"/>
      <c r="I129" s="385"/>
      <c r="J129" s="385"/>
      <c r="K129" s="385"/>
      <c r="L129" s="385"/>
      <c r="M129" s="385"/>
      <c r="N129" s="385"/>
      <c r="O129" s="385"/>
    </row>
    <row r="130" spans="2:15" ht="15" customHeight="1" x14ac:dyDescent="0.25">
      <c r="B130" s="386"/>
      <c r="C130" s="384"/>
      <c r="F130" s="385"/>
      <c r="G130" s="385"/>
      <c r="H130" s="385"/>
      <c r="I130" s="385"/>
      <c r="J130" s="385"/>
      <c r="K130" s="385"/>
      <c r="L130" s="385"/>
      <c r="M130" s="385"/>
      <c r="N130" s="385"/>
      <c r="O130" s="385"/>
    </row>
    <row r="131" spans="2:15" ht="15" customHeight="1" x14ac:dyDescent="0.25">
      <c r="B131" s="386"/>
      <c r="C131" s="384"/>
      <c r="F131" s="385"/>
      <c r="G131" s="385"/>
      <c r="H131" s="385"/>
      <c r="I131" s="385"/>
      <c r="J131" s="385"/>
      <c r="K131" s="385"/>
      <c r="L131" s="385"/>
      <c r="M131" s="385"/>
      <c r="N131" s="385"/>
      <c r="O131" s="385"/>
    </row>
    <row r="132" spans="2:15" ht="15" customHeight="1" x14ac:dyDescent="0.25">
      <c r="B132" s="386"/>
      <c r="C132" s="384"/>
      <c r="F132" s="385"/>
      <c r="G132" s="385"/>
      <c r="H132" s="385"/>
      <c r="I132" s="385"/>
      <c r="J132" s="385"/>
      <c r="K132" s="385"/>
      <c r="L132" s="385"/>
      <c r="M132" s="385"/>
      <c r="N132" s="385"/>
      <c r="O132" s="385"/>
    </row>
    <row r="133" spans="2:15" ht="15" customHeight="1" x14ac:dyDescent="0.25">
      <c r="B133" s="386"/>
      <c r="C133" s="384"/>
      <c r="F133" s="385"/>
      <c r="G133" s="385"/>
      <c r="H133" s="385"/>
      <c r="I133" s="385"/>
      <c r="J133" s="385"/>
      <c r="K133" s="385"/>
      <c r="L133" s="385"/>
      <c r="M133" s="385"/>
      <c r="N133" s="385"/>
      <c r="O133" s="385"/>
    </row>
    <row r="134" spans="2:15" ht="15" customHeight="1" x14ac:dyDescent="0.25">
      <c r="B134" s="386"/>
      <c r="C134" s="384"/>
      <c r="F134" s="385"/>
      <c r="G134" s="385"/>
      <c r="H134" s="385"/>
      <c r="I134" s="385"/>
      <c r="J134" s="385"/>
      <c r="K134" s="385"/>
      <c r="L134" s="385"/>
      <c r="M134" s="385"/>
      <c r="N134" s="385"/>
      <c r="O134" s="385"/>
    </row>
    <row r="135" spans="2:15" ht="15" customHeight="1" x14ac:dyDescent="0.25">
      <c r="B135" s="389"/>
      <c r="C135" s="384"/>
      <c r="F135" s="385"/>
      <c r="G135" s="385"/>
      <c r="H135" s="385"/>
      <c r="I135" s="385"/>
      <c r="J135" s="385"/>
      <c r="K135" s="385"/>
      <c r="L135" s="385"/>
      <c r="M135" s="385"/>
      <c r="N135" s="385"/>
      <c r="O135" s="385"/>
    </row>
    <row r="136" spans="2:15" ht="15" customHeight="1" x14ac:dyDescent="0.25">
      <c r="C136" s="384"/>
      <c r="F136" s="385"/>
      <c r="G136" s="385"/>
      <c r="H136" s="385"/>
      <c r="I136" s="385"/>
      <c r="J136" s="385"/>
      <c r="K136" s="385"/>
      <c r="L136" s="385"/>
      <c r="M136" s="385"/>
      <c r="N136" s="385"/>
      <c r="O136" s="385"/>
    </row>
    <row r="137" spans="2:15" ht="15" customHeight="1" x14ac:dyDescent="0.25">
      <c r="B137" s="389"/>
      <c r="C137" s="384"/>
      <c r="F137" s="385"/>
      <c r="G137" s="385"/>
      <c r="H137" s="385"/>
      <c r="I137" s="385"/>
      <c r="J137" s="385"/>
      <c r="K137" s="385"/>
      <c r="L137" s="385"/>
      <c r="M137" s="385"/>
      <c r="N137" s="385"/>
      <c r="O137" s="385"/>
    </row>
    <row r="138" spans="2:15" ht="15" customHeight="1" x14ac:dyDescent="0.25">
      <c r="C138" s="384"/>
      <c r="F138" s="385"/>
      <c r="G138" s="385"/>
      <c r="H138" s="385"/>
      <c r="I138" s="385"/>
      <c r="J138" s="385"/>
      <c r="K138" s="385"/>
      <c r="L138" s="385"/>
      <c r="M138" s="385"/>
      <c r="N138" s="385"/>
      <c r="O138" s="385"/>
    </row>
    <row r="139" spans="2:15" ht="15" customHeight="1" x14ac:dyDescent="0.25">
      <c r="B139" s="386"/>
      <c r="C139" s="384"/>
      <c r="F139" s="385"/>
      <c r="G139" s="385"/>
      <c r="H139" s="385"/>
      <c r="I139" s="385"/>
      <c r="J139" s="385"/>
      <c r="K139" s="385"/>
      <c r="L139" s="385"/>
      <c r="M139" s="385"/>
      <c r="N139" s="385"/>
      <c r="O139" s="385"/>
    </row>
    <row r="140" spans="2:15" ht="15" customHeight="1" x14ac:dyDescent="0.25">
      <c r="B140" s="386"/>
      <c r="C140" s="384"/>
      <c r="F140" s="385"/>
      <c r="G140" s="385"/>
      <c r="H140" s="385"/>
      <c r="I140" s="385"/>
      <c r="J140" s="385"/>
      <c r="K140" s="385"/>
      <c r="L140" s="385"/>
      <c r="M140" s="385"/>
      <c r="N140" s="385"/>
      <c r="O140" s="385"/>
    </row>
    <row r="141" spans="2:15" ht="15" customHeight="1" x14ac:dyDescent="0.25">
      <c r="B141" s="386"/>
      <c r="C141" s="384"/>
      <c r="F141" s="385"/>
      <c r="G141" s="385"/>
      <c r="H141" s="385"/>
      <c r="I141" s="385"/>
      <c r="J141" s="385"/>
      <c r="K141" s="385"/>
      <c r="L141" s="385"/>
      <c r="M141" s="385"/>
      <c r="N141" s="385"/>
      <c r="O141" s="385"/>
    </row>
    <row r="142" spans="2:15" ht="15" customHeight="1" x14ac:dyDescent="0.25">
      <c r="B142" s="389"/>
      <c r="C142" s="384"/>
      <c r="F142" s="385"/>
      <c r="G142" s="385"/>
      <c r="H142" s="385"/>
      <c r="I142" s="385"/>
      <c r="J142" s="385"/>
      <c r="K142" s="385"/>
      <c r="L142" s="385"/>
      <c r="M142" s="385"/>
      <c r="N142" s="385"/>
      <c r="O142" s="385"/>
    </row>
    <row r="143" spans="2:15" ht="15" customHeight="1" x14ac:dyDescent="0.25">
      <c r="C143" s="384"/>
      <c r="F143" s="385"/>
      <c r="G143" s="385"/>
      <c r="H143" s="385"/>
      <c r="I143" s="385"/>
      <c r="J143" s="385"/>
      <c r="K143" s="385"/>
      <c r="L143" s="385"/>
      <c r="M143" s="385"/>
      <c r="N143" s="385"/>
      <c r="O143" s="385"/>
    </row>
    <row r="144" spans="2:15" ht="15" customHeight="1" x14ac:dyDescent="0.25">
      <c r="B144" s="386"/>
      <c r="C144" s="384"/>
      <c r="F144" s="385"/>
      <c r="G144" s="385"/>
      <c r="H144" s="385"/>
      <c r="I144" s="385"/>
      <c r="J144" s="385"/>
      <c r="K144" s="385"/>
      <c r="L144" s="385"/>
      <c r="M144" s="385"/>
      <c r="N144" s="385"/>
      <c r="O144" s="385"/>
    </row>
    <row r="145" spans="1:15" ht="15" customHeight="1" x14ac:dyDescent="0.25">
      <c r="B145" s="386"/>
      <c r="C145" s="384"/>
      <c r="F145" s="385"/>
      <c r="G145" s="385"/>
      <c r="H145" s="385"/>
      <c r="I145" s="385"/>
      <c r="J145" s="385"/>
      <c r="K145" s="385"/>
      <c r="L145" s="385"/>
      <c r="M145" s="385"/>
      <c r="N145" s="385"/>
      <c r="O145" s="385"/>
    </row>
    <row r="146" spans="1:15" ht="15" customHeight="1" x14ac:dyDescent="0.25">
      <c r="B146" s="389"/>
      <c r="C146" s="384"/>
      <c r="F146" s="385"/>
      <c r="G146" s="385"/>
      <c r="H146" s="385"/>
      <c r="I146" s="385"/>
      <c r="J146" s="385"/>
      <c r="K146" s="385"/>
      <c r="L146" s="385"/>
      <c r="M146" s="385"/>
      <c r="N146" s="385"/>
      <c r="O146" s="385"/>
    </row>
    <row r="147" spans="1:15" ht="15" customHeight="1" x14ac:dyDescent="0.25">
      <c r="C147" s="384"/>
      <c r="F147" s="385"/>
      <c r="G147" s="385"/>
      <c r="H147" s="385"/>
      <c r="I147" s="385"/>
      <c r="J147" s="385"/>
      <c r="K147" s="385"/>
      <c r="L147" s="385"/>
      <c r="M147" s="385"/>
      <c r="N147" s="385"/>
      <c r="O147" s="385"/>
    </row>
    <row r="148" spans="1:15" ht="15" customHeight="1" x14ac:dyDescent="0.25">
      <c r="B148" s="388"/>
      <c r="C148" s="390"/>
      <c r="F148" s="385"/>
      <c r="G148" s="385"/>
      <c r="H148" s="385"/>
      <c r="I148" s="385"/>
      <c r="J148" s="385"/>
      <c r="K148" s="385"/>
      <c r="L148" s="385"/>
      <c r="M148" s="385"/>
      <c r="N148" s="385"/>
      <c r="O148" s="385"/>
    </row>
    <row r="149" spans="1:15" ht="15" customHeight="1" x14ac:dyDescent="0.25">
      <c r="B149" s="389"/>
      <c r="C149" s="384"/>
      <c r="F149" s="385"/>
      <c r="G149" s="385"/>
      <c r="H149" s="385"/>
      <c r="I149" s="385"/>
      <c r="J149" s="385"/>
      <c r="K149" s="385"/>
      <c r="L149" s="385"/>
      <c r="M149" s="385"/>
      <c r="N149" s="385"/>
      <c r="O149" s="385"/>
    </row>
    <row r="150" spans="1:15" ht="15" customHeight="1" x14ac:dyDescent="0.25">
      <c r="B150" s="389"/>
      <c r="C150" s="384"/>
      <c r="F150" s="385"/>
      <c r="G150" s="385"/>
      <c r="H150" s="385"/>
      <c r="I150" s="385"/>
      <c r="J150" s="385"/>
      <c r="K150" s="385"/>
      <c r="L150" s="385"/>
      <c r="M150" s="385"/>
      <c r="N150" s="385"/>
      <c r="O150" s="385"/>
    </row>
    <row r="151" spans="1:15" ht="15" customHeight="1" x14ac:dyDescent="0.25">
      <c r="C151" s="384"/>
      <c r="F151" s="385"/>
      <c r="G151" s="385"/>
      <c r="H151" s="385"/>
      <c r="I151" s="385"/>
      <c r="J151" s="385"/>
      <c r="K151" s="385"/>
      <c r="L151" s="385"/>
      <c r="M151" s="385"/>
      <c r="N151" s="385"/>
      <c r="O151" s="385"/>
    </row>
    <row r="152" spans="1:15" ht="15" customHeight="1" x14ac:dyDescent="0.25">
      <c r="F152" s="385"/>
      <c r="G152" s="385"/>
      <c r="H152" s="385"/>
      <c r="I152" s="385"/>
      <c r="J152" s="385"/>
      <c r="K152" s="385"/>
      <c r="L152" s="385"/>
      <c r="M152" s="385"/>
      <c r="N152" s="385"/>
      <c r="O152" s="385"/>
    </row>
    <row r="153" spans="1:15" ht="15" customHeight="1" x14ac:dyDescent="0.25">
      <c r="C153" s="390"/>
      <c r="F153" s="391"/>
      <c r="G153" s="391"/>
      <c r="H153" s="385"/>
      <c r="I153" s="385"/>
      <c r="J153" s="385"/>
      <c r="K153" s="385"/>
      <c r="L153" s="385"/>
      <c r="M153" s="385"/>
      <c r="N153" s="385"/>
      <c r="O153" s="385"/>
    </row>
    <row r="154" spans="1:15" ht="15" customHeight="1" x14ac:dyDescent="0.25">
      <c r="C154" s="390"/>
      <c r="F154" s="391"/>
      <c r="G154" s="391"/>
      <c r="H154" s="391"/>
      <c r="I154" s="391"/>
      <c r="J154" s="391"/>
      <c r="K154" s="391"/>
      <c r="L154" s="391"/>
      <c r="M154" s="391"/>
      <c r="N154" s="391"/>
      <c r="O154" s="391"/>
    </row>
    <row r="155" spans="1:15" ht="15" customHeight="1" x14ac:dyDescent="0.25">
      <c r="H155" s="391"/>
      <c r="I155" s="391"/>
      <c r="J155" s="391"/>
      <c r="K155" s="391"/>
      <c r="L155" s="391"/>
      <c r="M155" s="391"/>
      <c r="N155" s="391"/>
      <c r="O155" s="391"/>
    </row>
    <row r="156" spans="1:15" ht="15" customHeight="1" x14ac:dyDescent="0.25">
      <c r="A156" s="381"/>
      <c r="C156" s="381"/>
      <c r="D156" s="382"/>
    </row>
    <row r="157" spans="1:15" ht="15" customHeight="1" x14ac:dyDescent="0.25">
      <c r="B157" s="386"/>
      <c r="C157" s="384"/>
      <c r="D157" s="380"/>
      <c r="F157" s="385"/>
      <c r="G157" s="385"/>
    </row>
    <row r="158" spans="1:15" ht="15" customHeight="1" x14ac:dyDescent="0.25">
      <c r="B158" s="386"/>
      <c r="C158" s="384"/>
      <c r="D158" s="380"/>
      <c r="E158" s="380"/>
      <c r="F158" s="387"/>
      <c r="G158" s="387"/>
      <c r="H158" s="385"/>
      <c r="I158" s="385"/>
      <c r="J158" s="385"/>
      <c r="K158" s="385"/>
      <c r="L158" s="385"/>
      <c r="M158" s="385"/>
      <c r="N158" s="385"/>
      <c r="O158" s="385"/>
    </row>
    <row r="159" spans="1:15" ht="15" customHeight="1" x14ac:dyDescent="0.25">
      <c r="B159" s="386"/>
      <c r="C159" s="384"/>
      <c r="F159" s="385"/>
      <c r="G159" s="385"/>
      <c r="H159" s="387"/>
      <c r="I159" s="387"/>
      <c r="J159" s="387"/>
      <c r="K159" s="387"/>
      <c r="L159" s="387"/>
      <c r="M159" s="387"/>
      <c r="N159" s="387"/>
      <c r="O159" s="387"/>
    </row>
    <row r="160" spans="1:15" ht="15" customHeight="1" x14ac:dyDescent="0.25">
      <c r="B160" s="386"/>
      <c r="C160" s="384"/>
      <c r="F160" s="385"/>
      <c r="G160" s="385"/>
      <c r="H160" s="385"/>
      <c r="I160" s="385"/>
      <c r="J160" s="385"/>
      <c r="K160" s="385"/>
      <c r="L160" s="385"/>
      <c r="M160" s="385"/>
      <c r="N160" s="385"/>
      <c r="O160" s="385"/>
    </row>
    <row r="161" spans="2:15" ht="15" customHeight="1" x14ac:dyDescent="0.25">
      <c r="B161" s="386"/>
      <c r="C161" s="384"/>
      <c r="F161" s="385"/>
      <c r="G161" s="385"/>
      <c r="H161" s="385"/>
      <c r="I161" s="385"/>
      <c r="J161" s="385"/>
      <c r="K161" s="385"/>
      <c r="L161" s="385"/>
      <c r="M161" s="385"/>
      <c r="N161" s="385"/>
      <c r="O161" s="385"/>
    </row>
    <row r="162" spans="2:15" ht="15" customHeight="1" x14ac:dyDescent="0.25">
      <c r="B162" s="386"/>
      <c r="C162" s="384"/>
      <c r="F162" s="385"/>
      <c r="G162" s="385"/>
      <c r="H162" s="385"/>
      <c r="I162" s="385"/>
      <c r="J162" s="385"/>
      <c r="K162" s="385"/>
      <c r="L162" s="385"/>
      <c r="M162" s="385"/>
      <c r="N162" s="385"/>
      <c r="O162" s="385"/>
    </row>
    <row r="163" spans="2:15" ht="15" customHeight="1" x14ac:dyDescent="0.25">
      <c r="B163" s="388"/>
      <c r="C163" s="384"/>
      <c r="F163" s="385"/>
      <c r="G163" s="385"/>
      <c r="H163" s="385"/>
      <c r="I163" s="385"/>
      <c r="J163" s="385"/>
      <c r="K163" s="385"/>
      <c r="L163" s="385"/>
      <c r="M163" s="385"/>
      <c r="N163" s="385"/>
      <c r="O163" s="385"/>
    </row>
    <row r="164" spans="2:15" ht="15" customHeight="1" x14ac:dyDescent="0.25">
      <c r="C164" s="384"/>
      <c r="F164" s="385"/>
      <c r="G164" s="385"/>
      <c r="H164" s="385"/>
      <c r="I164" s="385"/>
      <c r="J164" s="385"/>
      <c r="K164" s="385"/>
      <c r="L164" s="385"/>
      <c r="M164" s="385"/>
      <c r="N164" s="385"/>
      <c r="O164" s="385"/>
    </row>
    <row r="165" spans="2:15" ht="15" customHeight="1" x14ac:dyDescent="0.25">
      <c r="B165" s="386"/>
      <c r="C165" s="384"/>
      <c r="F165" s="385"/>
      <c r="G165" s="385"/>
      <c r="H165" s="385"/>
      <c r="I165" s="385"/>
      <c r="J165" s="385"/>
      <c r="K165" s="385"/>
      <c r="L165" s="385"/>
      <c r="M165" s="385"/>
      <c r="N165" s="385"/>
      <c r="O165" s="385"/>
    </row>
    <row r="166" spans="2:15" ht="15" customHeight="1" x14ac:dyDescent="0.25">
      <c r="B166" s="386"/>
      <c r="C166" s="384"/>
      <c r="F166" s="385"/>
      <c r="G166" s="385"/>
      <c r="H166" s="385"/>
      <c r="I166" s="385"/>
      <c r="J166" s="385"/>
      <c r="K166" s="385"/>
      <c r="L166" s="385"/>
      <c r="M166" s="385"/>
      <c r="N166" s="385"/>
      <c r="O166" s="385"/>
    </row>
    <row r="167" spans="2:15" ht="15" customHeight="1" x14ac:dyDescent="0.25">
      <c r="B167" s="386"/>
      <c r="C167" s="384"/>
      <c r="F167" s="385"/>
      <c r="G167" s="385"/>
      <c r="H167" s="385"/>
      <c r="I167" s="385"/>
      <c r="J167" s="385"/>
      <c r="K167" s="385"/>
      <c r="L167" s="385"/>
      <c r="M167" s="385"/>
      <c r="N167" s="385"/>
      <c r="O167" s="385"/>
    </row>
    <row r="168" spans="2:15" ht="15" customHeight="1" x14ac:dyDescent="0.25">
      <c r="B168" s="386"/>
      <c r="C168" s="384"/>
      <c r="F168" s="385"/>
      <c r="G168" s="385"/>
      <c r="H168" s="385"/>
      <c r="I168" s="385"/>
      <c r="J168" s="385"/>
      <c r="K168" s="385"/>
      <c r="L168" s="385"/>
      <c r="M168" s="385"/>
      <c r="N168" s="385"/>
      <c r="O168" s="385"/>
    </row>
    <row r="169" spans="2:15" ht="15" customHeight="1" x14ac:dyDescent="0.25">
      <c r="C169" s="384"/>
      <c r="F169" s="385"/>
      <c r="G169" s="385"/>
      <c r="H169" s="385"/>
      <c r="I169" s="385"/>
      <c r="J169" s="385"/>
      <c r="K169" s="385"/>
      <c r="L169" s="385"/>
      <c r="M169" s="385"/>
      <c r="N169" s="385"/>
      <c r="O169" s="385"/>
    </row>
    <row r="170" spans="2:15" ht="15" customHeight="1" x14ac:dyDescent="0.25">
      <c r="B170" s="386"/>
      <c r="C170" s="384"/>
      <c r="F170" s="385"/>
      <c r="G170" s="385"/>
      <c r="H170" s="385"/>
      <c r="I170" s="385"/>
      <c r="J170" s="385"/>
      <c r="K170" s="385"/>
      <c r="L170" s="385"/>
      <c r="M170" s="385"/>
      <c r="N170" s="385"/>
      <c r="O170" s="385"/>
    </row>
    <row r="171" spans="2:15" ht="15" customHeight="1" x14ac:dyDescent="0.25">
      <c r="B171" s="386"/>
      <c r="C171" s="384"/>
      <c r="F171" s="385"/>
      <c r="G171" s="385"/>
      <c r="H171" s="385"/>
      <c r="I171" s="385"/>
      <c r="J171" s="385"/>
      <c r="K171" s="385"/>
      <c r="L171" s="385"/>
      <c r="M171" s="385"/>
      <c r="N171" s="385"/>
      <c r="O171" s="385"/>
    </row>
    <row r="172" spans="2:15" ht="15" customHeight="1" x14ac:dyDescent="0.25">
      <c r="B172" s="386"/>
      <c r="C172" s="384"/>
      <c r="F172" s="385"/>
      <c r="G172" s="385"/>
      <c r="H172" s="385"/>
      <c r="I172" s="385"/>
      <c r="J172" s="385"/>
      <c r="K172" s="385"/>
      <c r="L172" s="385"/>
      <c r="M172" s="385"/>
      <c r="N172" s="385"/>
      <c r="O172" s="385"/>
    </row>
    <row r="173" spans="2:15" ht="15" customHeight="1" x14ac:dyDescent="0.25">
      <c r="B173" s="388"/>
      <c r="C173" s="384"/>
      <c r="F173" s="385"/>
      <c r="G173" s="385"/>
      <c r="H173" s="385"/>
      <c r="I173" s="385"/>
      <c r="J173" s="385"/>
      <c r="K173" s="385"/>
      <c r="L173" s="385"/>
      <c r="M173" s="385"/>
      <c r="N173" s="385"/>
      <c r="O173" s="385"/>
    </row>
    <row r="174" spans="2:15" ht="15" customHeight="1" x14ac:dyDescent="0.25">
      <c r="B174" s="386"/>
      <c r="C174" s="384"/>
      <c r="F174" s="385"/>
      <c r="G174" s="385"/>
      <c r="H174" s="385"/>
      <c r="I174" s="385"/>
      <c r="J174" s="385"/>
      <c r="K174" s="385"/>
      <c r="L174" s="385"/>
      <c r="M174" s="385"/>
      <c r="N174" s="385"/>
      <c r="O174" s="385"/>
    </row>
    <row r="175" spans="2:15" ht="15" customHeight="1" x14ac:dyDescent="0.25">
      <c r="B175" s="386"/>
      <c r="C175" s="384"/>
      <c r="F175" s="385"/>
      <c r="G175" s="385"/>
      <c r="H175" s="385"/>
      <c r="I175" s="385"/>
      <c r="J175" s="385"/>
      <c r="K175" s="385"/>
      <c r="L175" s="385"/>
      <c r="M175" s="385"/>
      <c r="N175" s="385"/>
      <c r="O175" s="385"/>
    </row>
    <row r="176" spans="2:15" ht="15" customHeight="1" x14ac:dyDescent="0.25">
      <c r="B176" s="386"/>
      <c r="C176" s="384"/>
      <c r="F176" s="385"/>
      <c r="G176" s="385"/>
      <c r="H176" s="385"/>
      <c r="I176" s="385"/>
      <c r="J176" s="385"/>
      <c r="K176" s="385"/>
      <c r="L176" s="385"/>
      <c r="M176" s="385"/>
      <c r="N176" s="385"/>
      <c r="O176" s="385"/>
    </row>
    <row r="177" spans="2:15" ht="15" customHeight="1" x14ac:dyDescent="0.25">
      <c r="B177" s="386"/>
      <c r="C177" s="384"/>
      <c r="F177" s="385"/>
      <c r="G177" s="385"/>
      <c r="H177" s="385"/>
      <c r="I177" s="385"/>
      <c r="J177" s="385"/>
      <c r="K177" s="385"/>
      <c r="L177" s="385"/>
      <c r="M177" s="385"/>
      <c r="N177" s="385"/>
      <c r="O177" s="385"/>
    </row>
    <row r="178" spans="2:15" ht="15" customHeight="1" x14ac:dyDescent="0.25">
      <c r="B178" s="386"/>
      <c r="C178" s="384"/>
      <c r="F178" s="385"/>
      <c r="G178" s="385"/>
      <c r="H178" s="385"/>
      <c r="I178" s="385"/>
      <c r="J178" s="385"/>
      <c r="K178" s="385"/>
      <c r="L178" s="385"/>
      <c r="M178" s="385"/>
      <c r="N178" s="385"/>
      <c r="O178" s="385"/>
    </row>
    <row r="179" spans="2:15" ht="15" customHeight="1" x14ac:dyDescent="0.25">
      <c r="B179" s="386"/>
      <c r="C179" s="384"/>
      <c r="F179" s="385"/>
      <c r="G179" s="385"/>
      <c r="H179" s="385"/>
      <c r="I179" s="385"/>
      <c r="J179" s="385"/>
      <c r="K179" s="385"/>
      <c r="L179" s="385"/>
      <c r="M179" s="385"/>
      <c r="N179" s="385"/>
      <c r="O179" s="385"/>
    </row>
    <row r="180" spans="2:15" ht="15" customHeight="1" x14ac:dyDescent="0.25">
      <c r="B180" s="386"/>
      <c r="C180" s="384"/>
      <c r="F180" s="385"/>
      <c r="G180" s="385"/>
      <c r="H180" s="385"/>
      <c r="I180" s="385"/>
      <c r="J180" s="385"/>
      <c r="K180" s="385"/>
      <c r="L180" s="385"/>
      <c r="M180" s="385"/>
      <c r="N180" s="385"/>
      <c r="O180" s="385"/>
    </row>
    <row r="181" spans="2:15" ht="15" customHeight="1" x14ac:dyDescent="0.25">
      <c r="B181" s="386"/>
      <c r="C181" s="384"/>
      <c r="F181" s="385"/>
      <c r="G181" s="385"/>
      <c r="H181" s="385"/>
      <c r="I181" s="385"/>
      <c r="J181" s="385"/>
      <c r="K181" s="385"/>
      <c r="L181" s="385"/>
      <c r="M181" s="385"/>
      <c r="N181" s="385"/>
      <c r="O181" s="385"/>
    </row>
    <row r="182" spans="2:15" ht="15" customHeight="1" x14ac:dyDescent="0.25">
      <c r="B182" s="389"/>
      <c r="C182" s="384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2:15" ht="15" customHeight="1" x14ac:dyDescent="0.25">
      <c r="C183" s="384"/>
      <c r="F183" s="385"/>
      <c r="G183" s="385"/>
      <c r="H183" s="385"/>
      <c r="I183" s="385"/>
      <c r="J183" s="385"/>
      <c r="K183" s="385"/>
      <c r="L183" s="385"/>
      <c r="M183" s="385"/>
      <c r="N183" s="385"/>
      <c r="O183" s="385"/>
    </row>
    <row r="184" spans="2:15" ht="15" customHeight="1" x14ac:dyDescent="0.25">
      <c r="B184" s="389"/>
      <c r="C184" s="384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</row>
    <row r="185" spans="2:15" ht="15" customHeight="1" x14ac:dyDescent="0.25">
      <c r="C185" s="384"/>
      <c r="F185" s="385"/>
      <c r="G185" s="385"/>
      <c r="H185" s="385"/>
      <c r="I185" s="385"/>
      <c r="J185" s="385"/>
      <c r="K185" s="385"/>
      <c r="L185" s="385"/>
      <c r="M185" s="385"/>
      <c r="N185" s="385"/>
      <c r="O185" s="385"/>
    </row>
    <row r="186" spans="2:15" ht="15" customHeight="1" x14ac:dyDescent="0.25">
      <c r="B186" s="386"/>
      <c r="C186" s="384"/>
      <c r="F186" s="385"/>
      <c r="G186" s="385"/>
      <c r="H186" s="385"/>
      <c r="I186" s="385"/>
      <c r="J186" s="385"/>
      <c r="K186" s="385"/>
      <c r="L186" s="385"/>
      <c r="M186" s="385"/>
      <c r="N186" s="385"/>
      <c r="O186" s="385"/>
    </row>
    <row r="187" spans="2:15" ht="15" customHeight="1" x14ac:dyDescent="0.25">
      <c r="B187" s="386"/>
      <c r="C187" s="384"/>
      <c r="F187" s="385"/>
      <c r="G187" s="385"/>
      <c r="H187" s="385"/>
      <c r="I187" s="385"/>
      <c r="J187" s="385"/>
      <c r="K187" s="385"/>
      <c r="L187" s="385"/>
      <c r="M187" s="385"/>
      <c r="N187" s="385"/>
      <c r="O187" s="385"/>
    </row>
    <row r="188" spans="2:15" ht="15" customHeight="1" x14ac:dyDescent="0.25">
      <c r="B188" s="386"/>
      <c r="C188" s="384"/>
      <c r="F188" s="385"/>
      <c r="G188" s="385"/>
      <c r="H188" s="385"/>
      <c r="I188" s="385"/>
      <c r="J188" s="385"/>
      <c r="K188" s="385"/>
      <c r="L188" s="385"/>
      <c r="M188" s="385"/>
      <c r="N188" s="385"/>
      <c r="O188" s="385"/>
    </row>
    <row r="189" spans="2:15" ht="15" customHeight="1" x14ac:dyDescent="0.25">
      <c r="B189" s="389"/>
      <c r="C189" s="384"/>
      <c r="F189" s="385"/>
      <c r="G189" s="385"/>
      <c r="H189" s="385"/>
      <c r="I189" s="385"/>
      <c r="J189" s="385"/>
      <c r="K189" s="385"/>
      <c r="L189" s="385"/>
      <c r="M189" s="385"/>
      <c r="N189" s="385"/>
      <c r="O189" s="385"/>
    </row>
    <row r="190" spans="2:15" ht="15" customHeight="1" x14ac:dyDescent="0.25">
      <c r="C190" s="384"/>
      <c r="F190" s="385"/>
      <c r="G190" s="385"/>
      <c r="H190" s="385"/>
      <c r="I190" s="385"/>
      <c r="J190" s="385"/>
      <c r="K190" s="385"/>
      <c r="L190" s="385"/>
      <c r="M190" s="385"/>
      <c r="N190" s="385"/>
      <c r="O190" s="385"/>
    </row>
    <row r="191" spans="2:15" ht="15" customHeight="1" x14ac:dyDescent="0.25">
      <c r="B191" s="386"/>
      <c r="C191" s="384"/>
      <c r="F191" s="385"/>
      <c r="G191" s="385"/>
      <c r="H191" s="385"/>
      <c r="I191" s="385"/>
      <c r="J191" s="385"/>
      <c r="K191" s="385"/>
      <c r="L191" s="385"/>
      <c r="M191" s="385"/>
      <c r="N191" s="385"/>
      <c r="O191" s="385"/>
    </row>
    <row r="192" spans="2:15" ht="15" customHeight="1" x14ac:dyDescent="0.25">
      <c r="B192" s="386"/>
      <c r="C192" s="384"/>
      <c r="F192" s="385"/>
      <c r="G192" s="385"/>
      <c r="H192" s="385"/>
      <c r="I192" s="385"/>
      <c r="J192" s="385"/>
      <c r="K192" s="385"/>
      <c r="L192" s="385"/>
      <c r="M192" s="385"/>
      <c r="N192" s="385"/>
      <c r="O192" s="385"/>
    </row>
    <row r="193" spans="1:15" ht="15" customHeight="1" x14ac:dyDescent="0.25">
      <c r="B193" s="389"/>
      <c r="C193" s="384"/>
      <c r="F193" s="385"/>
      <c r="G193" s="385"/>
      <c r="H193" s="385"/>
      <c r="I193" s="385"/>
      <c r="J193" s="385"/>
      <c r="K193" s="385"/>
      <c r="L193" s="385"/>
      <c r="M193" s="385"/>
      <c r="N193" s="385"/>
      <c r="O193" s="385"/>
    </row>
    <row r="194" spans="1:15" ht="15" customHeight="1" x14ac:dyDescent="0.25">
      <c r="C194" s="384"/>
      <c r="F194" s="385"/>
      <c r="G194" s="385"/>
      <c r="H194" s="385"/>
      <c r="I194" s="385"/>
      <c r="J194" s="385"/>
      <c r="K194" s="385"/>
      <c r="L194" s="385"/>
      <c r="M194" s="385"/>
      <c r="N194" s="385"/>
      <c r="O194" s="385"/>
    </row>
    <row r="195" spans="1:15" ht="15" customHeight="1" x14ac:dyDescent="0.25">
      <c r="B195" s="388"/>
      <c r="C195" s="390"/>
      <c r="F195" s="385"/>
      <c r="G195" s="385"/>
      <c r="H195" s="385"/>
      <c r="I195" s="385"/>
      <c r="J195" s="385"/>
      <c r="K195" s="385"/>
      <c r="L195" s="385"/>
      <c r="M195" s="385"/>
      <c r="N195" s="385"/>
      <c r="O195" s="385"/>
    </row>
    <row r="196" spans="1:15" ht="15" customHeight="1" x14ac:dyDescent="0.25">
      <c r="B196" s="389"/>
      <c r="C196" s="384"/>
      <c r="F196" s="385"/>
      <c r="G196" s="385"/>
      <c r="H196" s="385"/>
      <c r="I196" s="385"/>
      <c r="J196" s="385"/>
      <c r="K196" s="385"/>
      <c r="L196" s="385"/>
      <c r="M196" s="385"/>
      <c r="N196" s="385"/>
      <c r="O196" s="385"/>
    </row>
    <row r="197" spans="1:15" ht="15" customHeight="1" x14ac:dyDescent="0.25">
      <c r="B197" s="389"/>
      <c r="C197" s="384"/>
      <c r="F197" s="385"/>
      <c r="G197" s="385"/>
      <c r="H197" s="385"/>
      <c r="I197" s="385"/>
      <c r="J197" s="385"/>
      <c r="K197" s="385"/>
      <c r="L197" s="385"/>
      <c r="M197" s="385"/>
      <c r="N197" s="385"/>
      <c r="O197" s="385"/>
    </row>
    <row r="198" spans="1:15" ht="15" customHeight="1" x14ac:dyDescent="0.25">
      <c r="C198" s="390"/>
      <c r="F198" s="385"/>
      <c r="G198" s="385"/>
      <c r="H198" s="385"/>
      <c r="I198" s="385"/>
      <c r="J198" s="385"/>
      <c r="K198" s="385"/>
      <c r="L198" s="385"/>
      <c r="M198" s="385"/>
      <c r="N198" s="385"/>
      <c r="O198" s="385"/>
    </row>
    <row r="199" spans="1:15" ht="15" customHeight="1" x14ac:dyDescent="0.25">
      <c r="F199" s="385"/>
      <c r="G199" s="385"/>
      <c r="H199" s="385"/>
      <c r="I199" s="385"/>
      <c r="J199" s="385"/>
      <c r="K199" s="385"/>
      <c r="L199" s="385"/>
      <c r="M199" s="385"/>
      <c r="N199" s="385"/>
      <c r="O199" s="385"/>
    </row>
    <row r="200" spans="1:15" ht="15" customHeight="1" x14ac:dyDescent="0.25">
      <c r="H200" s="385"/>
      <c r="I200" s="385"/>
      <c r="J200" s="385"/>
      <c r="K200" s="385"/>
      <c r="L200" s="385"/>
      <c r="M200" s="385"/>
      <c r="N200" s="385"/>
      <c r="O200" s="385"/>
    </row>
    <row r="201" spans="1:15" ht="15" customHeight="1" x14ac:dyDescent="0.25">
      <c r="M201" s="391"/>
      <c r="N201" s="391"/>
      <c r="O201" s="391"/>
    </row>
    <row r="202" spans="1:15" ht="15" customHeight="1" x14ac:dyDescent="0.25">
      <c r="A202" s="381"/>
      <c r="C202" s="381"/>
      <c r="D202" s="382"/>
    </row>
    <row r="203" spans="1:15" ht="15" customHeight="1" x14ac:dyDescent="0.25">
      <c r="B203" s="386"/>
      <c r="C203" s="384"/>
      <c r="D203" s="380"/>
      <c r="F203" s="385"/>
      <c r="G203" s="385"/>
    </row>
    <row r="204" spans="1:15" ht="15" customHeight="1" x14ac:dyDescent="0.25">
      <c r="B204" s="386"/>
      <c r="C204" s="384"/>
      <c r="D204" s="380"/>
      <c r="E204" s="380"/>
      <c r="F204" s="387"/>
      <c r="G204" s="387"/>
      <c r="H204" s="385"/>
      <c r="I204" s="385"/>
      <c r="J204" s="385"/>
      <c r="K204" s="385"/>
      <c r="L204" s="385"/>
      <c r="M204" s="385"/>
      <c r="N204" s="385"/>
      <c r="O204" s="385"/>
    </row>
    <row r="205" spans="1:15" ht="15" customHeight="1" x14ac:dyDescent="0.25">
      <c r="B205" s="386"/>
      <c r="C205" s="384"/>
      <c r="F205" s="385"/>
      <c r="G205" s="385"/>
      <c r="H205" s="387"/>
      <c r="I205" s="387"/>
      <c r="J205" s="387"/>
      <c r="K205" s="387"/>
      <c r="L205" s="387"/>
      <c r="M205" s="387"/>
      <c r="N205" s="387"/>
      <c r="O205" s="387"/>
    </row>
    <row r="206" spans="1:15" ht="15" customHeight="1" x14ac:dyDescent="0.25">
      <c r="B206" s="386"/>
      <c r="C206" s="384"/>
      <c r="F206" s="385"/>
      <c r="G206" s="385"/>
      <c r="H206" s="385"/>
      <c r="I206" s="385"/>
      <c r="J206" s="385"/>
      <c r="K206" s="385"/>
      <c r="L206" s="385"/>
      <c r="M206" s="385"/>
      <c r="N206" s="385"/>
      <c r="O206" s="385"/>
    </row>
    <row r="207" spans="1:15" ht="15" customHeight="1" x14ac:dyDescent="0.25">
      <c r="B207" s="386"/>
      <c r="C207" s="384"/>
      <c r="F207" s="385"/>
      <c r="G207" s="385"/>
      <c r="H207" s="385"/>
      <c r="I207" s="385"/>
      <c r="J207" s="385"/>
      <c r="K207" s="385"/>
      <c r="L207" s="385"/>
      <c r="M207" s="385"/>
      <c r="N207" s="385"/>
      <c r="O207" s="385"/>
    </row>
    <row r="208" spans="1:15" ht="15" customHeight="1" x14ac:dyDescent="0.25">
      <c r="B208" s="386"/>
      <c r="C208" s="384"/>
      <c r="F208" s="385"/>
      <c r="G208" s="385"/>
      <c r="H208" s="385"/>
      <c r="I208" s="385"/>
      <c r="J208" s="385"/>
      <c r="K208" s="385"/>
      <c r="L208" s="385"/>
      <c r="M208" s="385"/>
      <c r="N208" s="385"/>
      <c r="O208" s="385"/>
    </row>
    <row r="209" spans="2:15" ht="15" customHeight="1" x14ac:dyDescent="0.25">
      <c r="B209" s="388"/>
      <c r="C209" s="384"/>
      <c r="F209" s="385"/>
      <c r="G209" s="385"/>
      <c r="H209" s="385"/>
      <c r="I209" s="385"/>
      <c r="J209" s="385"/>
      <c r="K209" s="385"/>
      <c r="L209" s="385"/>
      <c r="M209" s="385"/>
      <c r="N209" s="385"/>
      <c r="O209" s="385"/>
    </row>
    <row r="210" spans="2:15" ht="15" customHeight="1" x14ac:dyDescent="0.25">
      <c r="C210" s="384"/>
      <c r="F210" s="385"/>
      <c r="G210" s="385"/>
      <c r="H210" s="385"/>
      <c r="I210" s="385"/>
      <c r="J210" s="385"/>
      <c r="K210" s="385"/>
      <c r="L210" s="385"/>
      <c r="M210" s="385"/>
      <c r="N210" s="385"/>
      <c r="O210" s="385"/>
    </row>
    <row r="211" spans="2:15" ht="15" customHeight="1" x14ac:dyDescent="0.25">
      <c r="B211" s="386"/>
      <c r="C211" s="384"/>
      <c r="F211" s="385"/>
      <c r="G211" s="385"/>
      <c r="H211" s="385"/>
      <c r="I211" s="385"/>
      <c r="J211" s="385"/>
      <c r="K211" s="385"/>
      <c r="L211" s="385"/>
      <c r="M211" s="385"/>
      <c r="N211" s="385"/>
      <c r="O211" s="385"/>
    </row>
    <row r="212" spans="2:15" ht="15" customHeight="1" x14ac:dyDescent="0.25">
      <c r="B212" s="386"/>
      <c r="C212" s="384"/>
      <c r="F212" s="385"/>
      <c r="G212" s="385"/>
      <c r="H212" s="385"/>
      <c r="I212" s="385"/>
      <c r="J212" s="385"/>
      <c r="K212" s="385"/>
      <c r="L212" s="385"/>
      <c r="M212" s="385"/>
      <c r="N212" s="385"/>
      <c r="O212" s="385"/>
    </row>
    <row r="213" spans="2:15" ht="15" customHeight="1" x14ac:dyDescent="0.25">
      <c r="B213" s="386"/>
      <c r="C213" s="384"/>
      <c r="F213" s="385"/>
      <c r="G213" s="385"/>
      <c r="H213" s="385"/>
      <c r="I213" s="385"/>
      <c r="J213" s="385"/>
      <c r="K213" s="385"/>
      <c r="L213" s="385"/>
      <c r="M213" s="385"/>
      <c r="N213" s="385"/>
      <c r="O213" s="385"/>
    </row>
    <row r="214" spans="2:15" ht="15" customHeight="1" x14ac:dyDescent="0.25">
      <c r="B214" s="386"/>
      <c r="C214" s="384"/>
      <c r="F214" s="385"/>
      <c r="G214" s="385"/>
      <c r="H214" s="385"/>
      <c r="I214" s="385"/>
      <c r="J214" s="385"/>
      <c r="K214" s="385"/>
      <c r="L214" s="385"/>
      <c r="M214" s="385"/>
      <c r="N214" s="385"/>
      <c r="O214" s="385"/>
    </row>
    <row r="215" spans="2:15" ht="15" customHeight="1" x14ac:dyDescent="0.25">
      <c r="C215" s="384"/>
      <c r="F215" s="385"/>
      <c r="G215" s="385"/>
      <c r="H215" s="385"/>
      <c r="I215" s="385"/>
      <c r="J215" s="385"/>
      <c r="K215" s="385"/>
      <c r="L215" s="385"/>
      <c r="M215" s="385"/>
      <c r="N215" s="385"/>
      <c r="O215" s="385"/>
    </row>
    <row r="216" spans="2:15" ht="15" customHeight="1" x14ac:dyDescent="0.25">
      <c r="B216" s="386"/>
      <c r="C216" s="384"/>
      <c r="F216" s="385"/>
      <c r="G216" s="385"/>
      <c r="H216" s="385"/>
      <c r="I216" s="385"/>
      <c r="J216" s="385"/>
      <c r="K216" s="385"/>
      <c r="L216" s="385"/>
      <c r="M216" s="385"/>
      <c r="N216" s="385"/>
      <c r="O216" s="385"/>
    </row>
    <row r="217" spans="2:15" ht="15" customHeight="1" x14ac:dyDescent="0.25">
      <c r="B217" s="386"/>
      <c r="C217" s="384"/>
      <c r="F217" s="385"/>
      <c r="G217" s="385"/>
      <c r="H217" s="385"/>
      <c r="I217" s="385"/>
      <c r="J217" s="385"/>
      <c r="K217" s="385"/>
      <c r="L217" s="385"/>
      <c r="M217" s="385"/>
      <c r="N217" s="385"/>
      <c r="O217" s="385"/>
    </row>
    <row r="218" spans="2:15" ht="15" customHeight="1" x14ac:dyDescent="0.25">
      <c r="B218" s="386"/>
      <c r="C218" s="384"/>
      <c r="F218" s="385"/>
      <c r="G218" s="385"/>
      <c r="H218" s="385"/>
      <c r="I218" s="385"/>
      <c r="J218" s="385"/>
      <c r="K218" s="385"/>
      <c r="L218" s="385"/>
      <c r="M218" s="385"/>
      <c r="N218" s="385"/>
      <c r="O218" s="385"/>
    </row>
    <row r="219" spans="2:15" ht="15" customHeight="1" x14ac:dyDescent="0.25">
      <c r="B219" s="388"/>
      <c r="C219" s="384"/>
      <c r="F219" s="385"/>
      <c r="G219" s="385"/>
      <c r="H219" s="385"/>
      <c r="I219" s="385"/>
      <c r="J219" s="385"/>
      <c r="K219" s="385"/>
      <c r="L219" s="385"/>
      <c r="M219" s="385"/>
      <c r="N219" s="385"/>
      <c r="O219" s="385"/>
    </row>
    <row r="220" spans="2:15" ht="15" customHeight="1" x14ac:dyDescent="0.25">
      <c r="B220" s="386"/>
      <c r="C220" s="384"/>
      <c r="F220" s="385"/>
      <c r="G220" s="385"/>
      <c r="H220" s="385"/>
      <c r="I220" s="385"/>
      <c r="J220" s="385"/>
      <c r="K220" s="385"/>
      <c r="L220" s="385"/>
      <c r="M220" s="385"/>
      <c r="N220" s="385"/>
      <c r="O220" s="385"/>
    </row>
    <row r="221" spans="2:15" ht="15" customHeight="1" x14ac:dyDescent="0.25">
      <c r="B221" s="386"/>
      <c r="C221" s="384"/>
      <c r="F221" s="385"/>
      <c r="G221" s="385"/>
      <c r="H221" s="385"/>
      <c r="I221" s="385"/>
      <c r="J221" s="385"/>
      <c r="K221" s="385"/>
      <c r="L221" s="385"/>
      <c r="M221" s="385"/>
      <c r="N221" s="385"/>
      <c r="O221" s="385"/>
    </row>
    <row r="222" spans="2:15" ht="15" customHeight="1" x14ac:dyDescent="0.25">
      <c r="B222" s="386"/>
      <c r="C222" s="384"/>
      <c r="F222" s="385"/>
      <c r="G222" s="385"/>
      <c r="H222" s="385"/>
      <c r="I222" s="385"/>
      <c r="J222" s="385"/>
      <c r="K222" s="385"/>
      <c r="L222" s="385"/>
      <c r="M222" s="385"/>
      <c r="N222" s="385"/>
      <c r="O222" s="385"/>
    </row>
    <row r="223" spans="2:15" ht="15" customHeight="1" x14ac:dyDescent="0.25">
      <c r="B223" s="386"/>
      <c r="C223" s="384"/>
      <c r="F223" s="385"/>
      <c r="G223" s="385"/>
      <c r="H223" s="385"/>
      <c r="I223" s="385"/>
      <c r="J223" s="385"/>
      <c r="K223" s="385"/>
      <c r="L223" s="385"/>
      <c r="M223" s="385"/>
      <c r="N223" s="385"/>
      <c r="O223" s="385"/>
    </row>
    <row r="224" spans="2:15" ht="15" customHeight="1" x14ac:dyDescent="0.25">
      <c r="B224" s="386"/>
      <c r="C224" s="384"/>
      <c r="F224" s="385"/>
      <c r="G224" s="385"/>
      <c r="H224" s="385"/>
      <c r="I224" s="385"/>
      <c r="J224" s="385"/>
      <c r="K224" s="385"/>
      <c r="L224" s="385"/>
      <c r="M224" s="385"/>
      <c r="N224" s="385"/>
      <c r="O224" s="385"/>
    </row>
    <row r="225" spans="2:15" ht="15" customHeight="1" x14ac:dyDescent="0.25">
      <c r="B225" s="386"/>
      <c r="C225" s="384"/>
      <c r="F225" s="385"/>
      <c r="G225" s="385"/>
      <c r="H225" s="385"/>
      <c r="I225" s="385"/>
      <c r="J225" s="385"/>
      <c r="K225" s="385"/>
      <c r="L225" s="385"/>
      <c r="M225" s="385"/>
      <c r="N225" s="385"/>
      <c r="O225" s="385"/>
    </row>
    <row r="226" spans="2:15" ht="15" customHeight="1" x14ac:dyDescent="0.25">
      <c r="B226" s="386"/>
      <c r="C226" s="384"/>
      <c r="F226" s="385"/>
      <c r="G226" s="385"/>
      <c r="H226" s="385"/>
      <c r="I226" s="385"/>
      <c r="J226" s="385"/>
      <c r="K226" s="385"/>
      <c r="L226" s="385"/>
      <c r="M226" s="385"/>
      <c r="N226" s="385"/>
      <c r="O226" s="385"/>
    </row>
    <row r="227" spans="2:15" ht="15" customHeight="1" x14ac:dyDescent="0.25">
      <c r="B227" s="386"/>
      <c r="C227" s="384"/>
      <c r="F227" s="385"/>
      <c r="G227" s="385"/>
      <c r="H227" s="385"/>
      <c r="I227" s="385"/>
      <c r="J227" s="385"/>
      <c r="K227" s="385"/>
      <c r="L227" s="385"/>
      <c r="M227" s="385"/>
      <c r="N227" s="385"/>
      <c r="O227" s="385"/>
    </row>
    <row r="228" spans="2:15" ht="15" customHeight="1" x14ac:dyDescent="0.25">
      <c r="B228" s="389"/>
      <c r="C228" s="384"/>
      <c r="F228" s="385"/>
      <c r="G228" s="385"/>
      <c r="H228" s="385"/>
      <c r="I228" s="385"/>
      <c r="J228" s="385"/>
      <c r="K228" s="385"/>
      <c r="L228" s="385"/>
      <c r="M228" s="385"/>
      <c r="N228" s="385"/>
      <c r="O228" s="385"/>
    </row>
    <row r="229" spans="2:15" ht="15" customHeight="1" x14ac:dyDescent="0.25">
      <c r="C229" s="384"/>
      <c r="F229" s="385"/>
      <c r="G229" s="385"/>
      <c r="H229" s="385"/>
      <c r="I229" s="385"/>
      <c r="J229" s="385"/>
      <c r="K229" s="385"/>
      <c r="L229" s="385"/>
      <c r="M229" s="385"/>
      <c r="N229" s="385"/>
      <c r="O229" s="385"/>
    </row>
    <row r="230" spans="2:15" ht="15" customHeight="1" x14ac:dyDescent="0.25">
      <c r="B230" s="389"/>
      <c r="C230" s="384"/>
      <c r="F230" s="385"/>
      <c r="G230" s="385"/>
      <c r="H230" s="385"/>
      <c r="I230" s="385"/>
      <c r="J230" s="385"/>
      <c r="K230" s="385"/>
      <c r="L230" s="385"/>
      <c r="M230" s="385"/>
      <c r="N230" s="385"/>
      <c r="O230" s="385"/>
    </row>
    <row r="231" spans="2:15" ht="15" customHeight="1" x14ac:dyDescent="0.25">
      <c r="C231" s="384"/>
      <c r="F231" s="385"/>
      <c r="G231" s="385"/>
      <c r="H231" s="385"/>
      <c r="I231" s="385"/>
      <c r="J231" s="385"/>
      <c r="K231" s="385"/>
      <c r="L231" s="385"/>
      <c r="M231" s="385"/>
      <c r="N231" s="385"/>
      <c r="O231" s="385"/>
    </row>
    <row r="232" spans="2:15" ht="15" customHeight="1" x14ac:dyDescent="0.25">
      <c r="B232" s="386"/>
      <c r="C232" s="384"/>
      <c r="F232" s="385"/>
      <c r="G232" s="385"/>
      <c r="H232" s="385"/>
      <c r="I232" s="385"/>
      <c r="J232" s="385"/>
      <c r="K232" s="385"/>
      <c r="L232" s="385"/>
      <c r="M232" s="385"/>
      <c r="N232" s="385"/>
      <c r="O232" s="385"/>
    </row>
    <row r="233" spans="2:15" ht="15" customHeight="1" x14ac:dyDescent="0.25">
      <c r="B233" s="386"/>
      <c r="C233" s="384"/>
      <c r="F233" s="385"/>
      <c r="G233" s="385"/>
      <c r="H233" s="385"/>
      <c r="I233" s="385"/>
      <c r="J233" s="385"/>
      <c r="K233" s="385"/>
      <c r="L233" s="385"/>
      <c r="M233" s="385"/>
      <c r="N233" s="385"/>
      <c r="O233" s="385"/>
    </row>
    <row r="234" spans="2:15" ht="15" customHeight="1" x14ac:dyDescent="0.25">
      <c r="B234" s="386"/>
      <c r="C234" s="384"/>
      <c r="F234" s="385"/>
      <c r="G234" s="385"/>
      <c r="H234" s="385"/>
      <c r="I234" s="385"/>
      <c r="J234" s="385"/>
      <c r="K234" s="385"/>
      <c r="L234" s="385"/>
      <c r="M234" s="385"/>
      <c r="N234" s="385"/>
      <c r="O234" s="385"/>
    </row>
    <row r="235" spans="2:15" ht="15" customHeight="1" x14ac:dyDescent="0.25">
      <c r="B235" s="389"/>
      <c r="C235" s="384"/>
      <c r="F235" s="385"/>
      <c r="G235" s="385"/>
      <c r="H235" s="385"/>
      <c r="I235" s="385"/>
      <c r="J235" s="385"/>
      <c r="K235" s="385"/>
      <c r="L235" s="385"/>
      <c r="M235" s="385"/>
      <c r="N235" s="385"/>
      <c r="O235" s="385"/>
    </row>
    <row r="236" spans="2:15" ht="15" customHeight="1" x14ac:dyDescent="0.25">
      <c r="C236" s="384"/>
      <c r="F236" s="385"/>
      <c r="G236" s="385"/>
      <c r="H236" s="385"/>
      <c r="I236" s="385"/>
      <c r="J236" s="385"/>
      <c r="K236" s="385"/>
      <c r="L236" s="385"/>
      <c r="M236" s="385"/>
      <c r="N236" s="385"/>
      <c r="O236" s="385"/>
    </row>
    <row r="237" spans="2:15" ht="15" customHeight="1" x14ac:dyDescent="0.25">
      <c r="B237" s="386"/>
      <c r="C237" s="384"/>
      <c r="F237" s="385"/>
      <c r="G237" s="385"/>
      <c r="H237" s="385"/>
      <c r="I237" s="385"/>
      <c r="J237" s="385"/>
      <c r="K237" s="385"/>
      <c r="L237" s="385"/>
      <c r="M237" s="385"/>
      <c r="N237" s="385"/>
      <c r="O237" s="385"/>
    </row>
    <row r="238" spans="2:15" ht="15" customHeight="1" x14ac:dyDescent="0.25">
      <c r="B238" s="386"/>
      <c r="C238" s="384"/>
      <c r="F238" s="385"/>
      <c r="G238" s="385"/>
      <c r="H238" s="385"/>
      <c r="I238" s="385"/>
      <c r="J238" s="385"/>
      <c r="K238" s="385"/>
      <c r="L238" s="385"/>
      <c r="M238" s="385"/>
      <c r="N238" s="385"/>
      <c r="O238" s="385"/>
    </row>
    <row r="239" spans="2:15" ht="15" customHeight="1" x14ac:dyDescent="0.25">
      <c r="B239" s="389"/>
      <c r="C239" s="384"/>
      <c r="F239" s="385"/>
      <c r="G239" s="385"/>
      <c r="H239" s="385"/>
      <c r="I239" s="385"/>
      <c r="J239" s="385"/>
      <c r="K239" s="385"/>
      <c r="L239" s="385"/>
      <c r="M239" s="385"/>
      <c r="N239" s="385"/>
      <c r="O239" s="385"/>
    </row>
    <row r="240" spans="2:15" ht="15" customHeight="1" x14ac:dyDescent="0.25">
      <c r="C240" s="384"/>
      <c r="F240" s="385"/>
      <c r="G240" s="385"/>
      <c r="H240" s="385"/>
      <c r="I240" s="385"/>
      <c r="J240" s="385"/>
      <c r="K240" s="385"/>
      <c r="L240" s="385"/>
      <c r="M240" s="385"/>
      <c r="N240" s="385"/>
      <c r="O240" s="385"/>
    </row>
    <row r="241" spans="1:15" ht="15" customHeight="1" x14ac:dyDescent="0.25">
      <c r="B241" s="388"/>
      <c r="C241" s="390"/>
      <c r="F241" s="385"/>
      <c r="G241" s="385"/>
      <c r="H241" s="385"/>
      <c r="I241" s="385"/>
      <c r="J241" s="385"/>
      <c r="K241" s="385"/>
      <c r="L241" s="385"/>
      <c r="M241" s="385"/>
      <c r="N241" s="385"/>
      <c r="O241" s="385"/>
    </row>
    <row r="242" spans="1:15" ht="15" customHeight="1" x14ac:dyDescent="0.25">
      <c r="B242" s="389"/>
      <c r="C242" s="384"/>
      <c r="F242" s="385"/>
      <c r="G242" s="385"/>
      <c r="H242" s="385"/>
      <c r="I242" s="385"/>
      <c r="J242" s="385"/>
      <c r="K242" s="385"/>
      <c r="L242" s="385"/>
      <c r="M242" s="385"/>
      <c r="N242" s="385"/>
      <c r="O242" s="385"/>
    </row>
    <row r="243" spans="1:15" ht="15" customHeight="1" x14ac:dyDescent="0.25">
      <c r="B243" s="389"/>
      <c r="C243" s="384"/>
      <c r="F243" s="385"/>
      <c r="G243" s="385"/>
      <c r="H243" s="385"/>
      <c r="I243" s="385"/>
      <c r="J243" s="385"/>
      <c r="K243" s="385"/>
      <c r="L243" s="385"/>
      <c r="M243" s="385"/>
      <c r="N243" s="385"/>
      <c r="O243" s="385"/>
    </row>
    <row r="244" spans="1:15" ht="15" customHeight="1" x14ac:dyDescent="0.25">
      <c r="C244" s="390"/>
      <c r="F244" s="385"/>
      <c r="G244" s="385"/>
      <c r="H244" s="385"/>
      <c r="I244" s="385"/>
      <c r="J244" s="385"/>
      <c r="K244" s="385"/>
      <c r="L244" s="385"/>
      <c r="M244" s="385"/>
      <c r="N244" s="385"/>
      <c r="O244" s="385"/>
    </row>
    <row r="245" spans="1:15" ht="15" customHeight="1" x14ac:dyDescent="0.25">
      <c r="F245" s="385"/>
      <c r="G245" s="385"/>
      <c r="H245" s="385"/>
      <c r="I245" s="385"/>
      <c r="J245" s="385"/>
      <c r="K245" s="385"/>
      <c r="L245" s="385"/>
      <c r="M245" s="385"/>
      <c r="N245" s="385"/>
      <c r="O245" s="385"/>
    </row>
    <row r="246" spans="1:15" ht="15" customHeight="1" x14ac:dyDescent="0.25">
      <c r="H246" s="385"/>
      <c r="I246" s="385"/>
      <c r="J246" s="385"/>
      <c r="K246" s="385"/>
      <c r="L246" s="385"/>
      <c r="M246" s="385"/>
      <c r="N246" s="385"/>
      <c r="O246" s="385"/>
    </row>
    <row r="247" spans="1:15" ht="15" customHeight="1" x14ac:dyDescent="0.25">
      <c r="M247" s="391"/>
      <c r="N247" s="391"/>
      <c r="O247" s="391"/>
    </row>
    <row r="248" spans="1:15" ht="15" customHeight="1" x14ac:dyDescent="0.25"/>
    <row r="249" spans="1:15" ht="15" customHeight="1" x14ac:dyDescent="0.25">
      <c r="A249" s="381"/>
      <c r="C249" s="381"/>
      <c r="D249" s="382"/>
    </row>
    <row r="250" spans="1:15" ht="15" customHeight="1" x14ac:dyDescent="0.25">
      <c r="B250" s="386"/>
      <c r="C250" s="384"/>
      <c r="D250" s="380"/>
      <c r="F250" s="385"/>
      <c r="G250" s="385"/>
    </row>
    <row r="251" spans="1:15" ht="15" customHeight="1" x14ac:dyDescent="0.25">
      <c r="B251" s="386"/>
      <c r="C251" s="384"/>
      <c r="D251" s="380"/>
      <c r="E251" s="380"/>
      <c r="F251" s="387"/>
      <c r="G251" s="387"/>
      <c r="H251" s="385"/>
      <c r="I251" s="385"/>
      <c r="J251" s="385"/>
      <c r="K251" s="385"/>
      <c r="L251" s="385"/>
      <c r="M251" s="385"/>
      <c r="N251" s="385"/>
      <c r="O251" s="385"/>
    </row>
    <row r="252" spans="1:15" ht="15" customHeight="1" x14ac:dyDescent="0.25">
      <c r="B252" s="386"/>
      <c r="C252" s="384"/>
      <c r="F252" s="385"/>
      <c r="G252" s="385"/>
      <c r="H252" s="387"/>
      <c r="I252" s="387"/>
      <c r="J252" s="387"/>
      <c r="K252" s="387"/>
      <c r="L252" s="387"/>
      <c r="M252" s="387"/>
      <c r="N252" s="387"/>
      <c r="O252" s="387"/>
    </row>
    <row r="253" spans="1:15" ht="15" customHeight="1" x14ac:dyDescent="0.25">
      <c r="B253" s="386"/>
      <c r="C253" s="384"/>
      <c r="F253" s="385"/>
      <c r="G253" s="385"/>
      <c r="H253" s="385"/>
      <c r="I253" s="385"/>
      <c r="J253" s="385"/>
      <c r="K253" s="385"/>
      <c r="L253" s="385"/>
      <c r="M253" s="385"/>
      <c r="N253" s="385"/>
      <c r="O253" s="385"/>
    </row>
    <row r="254" spans="1:15" ht="15" customHeight="1" x14ac:dyDescent="0.25">
      <c r="B254" s="386"/>
      <c r="C254" s="384"/>
      <c r="F254" s="385"/>
      <c r="G254" s="385"/>
      <c r="H254" s="385"/>
      <c r="I254" s="385"/>
      <c r="J254" s="385"/>
      <c r="K254" s="385"/>
      <c r="L254" s="385"/>
      <c r="M254" s="385"/>
      <c r="N254" s="385"/>
      <c r="O254" s="385"/>
    </row>
    <row r="255" spans="1:15" ht="15" customHeight="1" x14ac:dyDescent="0.25">
      <c r="B255" s="386"/>
      <c r="C255" s="384"/>
      <c r="F255" s="385"/>
      <c r="G255" s="385"/>
      <c r="H255" s="385"/>
      <c r="I255" s="385"/>
      <c r="J255" s="385"/>
      <c r="K255" s="385"/>
      <c r="L255" s="385"/>
      <c r="M255" s="385"/>
      <c r="N255" s="385"/>
      <c r="O255" s="385"/>
    </row>
    <row r="256" spans="1:15" ht="15" customHeight="1" x14ac:dyDescent="0.25">
      <c r="B256" s="388"/>
      <c r="C256" s="384"/>
      <c r="F256" s="385"/>
      <c r="G256" s="385"/>
      <c r="H256" s="385"/>
      <c r="I256" s="385"/>
      <c r="J256" s="385"/>
      <c r="K256" s="385"/>
      <c r="L256" s="385"/>
      <c r="M256" s="385"/>
      <c r="N256" s="385"/>
      <c r="O256" s="385"/>
    </row>
    <row r="257" spans="2:15" ht="15" customHeight="1" x14ac:dyDescent="0.25">
      <c r="C257" s="384"/>
      <c r="F257" s="385"/>
      <c r="G257" s="385"/>
      <c r="H257" s="385"/>
      <c r="I257" s="385"/>
      <c r="J257" s="385"/>
      <c r="K257" s="385"/>
      <c r="L257" s="385"/>
      <c r="M257" s="385"/>
      <c r="N257" s="385"/>
      <c r="O257" s="385"/>
    </row>
    <row r="258" spans="2:15" ht="15" customHeight="1" x14ac:dyDescent="0.25">
      <c r="B258" s="386"/>
      <c r="C258" s="384"/>
      <c r="F258" s="385"/>
      <c r="G258" s="385"/>
      <c r="H258" s="385"/>
      <c r="I258" s="385"/>
      <c r="J258" s="385"/>
      <c r="K258" s="385"/>
      <c r="L258" s="385"/>
      <c r="M258" s="385"/>
      <c r="N258" s="385"/>
      <c r="O258" s="385"/>
    </row>
    <row r="259" spans="2:15" ht="15" customHeight="1" x14ac:dyDescent="0.25">
      <c r="B259" s="386"/>
      <c r="C259" s="384"/>
      <c r="F259" s="385"/>
      <c r="G259" s="385"/>
      <c r="H259" s="385"/>
      <c r="I259" s="385"/>
      <c r="J259" s="385"/>
      <c r="K259" s="385"/>
      <c r="L259" s="385"/>
      <c r="M259" s="385"/>
      <c r="N259" s="385"/>
      <c r="O259" s="385"/>
    </row>
    <row r="260" spans="2:15" ht="15" customHeight="1" x14ac:dyDescent="0.25">
      <c r="B260" s="386"/>
      <c r="C260" s="384"/>
      <c r="F260" s="385"/>
      <c r="G260" s="385"/>
      <c r="H260" s="385"/>
      <c r="I260" s="385"/>
      <c r="J260" s="385"/>
      <c r="K260" s="385"/>
      <c r="L260" s="385"/>
      <c r="M260" s="385"/>
      <c r="N260" s="385"/>
      <c r="O260" s="385"/>
    </row>
    <row r="261" spans="2:15" ht="15" customHeight="1" x14ac:dyDescent="0.25">
      <c r="B261" s="386"/>
      <c r="C261" s="384"/>
      <c r="F261" s="385"/>
      <c r="G261" s="385"/>
      <c r="H261" s="385"/>
      <c r="I261" s="385"/>
      <c r="J261" s="385"/>
      <c r="K261" s="385"/>
      <c r="L261" s="385"/>
      <c r="M261" s="385"/>
      <c r="N261" s="385"/>
      <c r="O261" s="385"/>
    </row>
    <row r="262" spans="2:15" ht="15" customHeight="1" x14ac:dyDescent="0.25">
      <c r="C262" s="384"/>
      <c r="F262" s="385"/>
      <c r="G262" s="385"/>
      <c r="H262" s="385"/>
      <c r="I262" s="385"/>
      <c r="J262" s="385"/>
      <c r="K262" s="385"/>
      <c r="L262" s="385"/>
      <c r="M262" s="385"/>
      <c r="N262" s="385"/>
      <c r="O262" s="385"/>
    </row>
    <row r="263" spans="2:15" ht="15" customHeight="1" x14ac:dyDescent="0.25">
      <c r="B263" s="386"/>
      <c r="C263" s="384"/>
      <c r="F263" s="385"/>
      <c r="G263" s="385"/>
      <c r="H263" s="385"/>
      <c r="I263" s="385"/>
      <c r="J263" s="385"/>
      <c r="K263" s="385"/>
      <c r="L263" s="385"/>
      <c r="M263" s="385"/>
      <c r="N263" s="385"/>
      <c r="O263" s="385"/>
    </row>
    <row r="264" spans="2:15" ht="15" customHeight="1" x14ac:dyDescent="0.25">
      <c r="B264" s="386"/>
      <c r="C264" s="384"/>
      <c r="F264" s="385"/>
      <c r="G264" s="385"/>
      <c r="H264" s="385"/>
      <c r="I264" s="385"/>
      <c r="J264" s="385"/>
      <c r="K264" s="385"/>
      <c r="L264" s="385"/>
      <c r="M264" s="385"/>
      <c r="N264" s="385"/>
      <c r="O264" s="385"/>
    </row>
    <row r="265" spans="2:15" ht="15" customHeight="1" x14ac:dyDescent="0.25">
      <c r="B265" s="386"/>
      <c r="C265" s="384"/>
      <c r="F265" s="385"/>
      <c r="G265" s="385"/>
      <c r="H265" s="385"/>
      <c r="I265" s="385"/>
      <c r="J265" s="385"/>
      <c r="K265" s="385"/>
      <c r="L265" s="385"/>
      <c r="M265" s="385"/>
      <c r="N265" s="385"/>
      <c r="O265" s="385"/>
    </row>
    <row r="266" spans="2:15" ht="15" customHeight="1" x14ac:dyDescent="0.25">
      <c r="B266" s="388"/>
      <c r="C266" s="384"/>
      <c r="F266" s="385"/>
      <c r="G266" s="385"/>
      <c r="H266" s="385"/>
      <c r="I266" s="385"/>
      <c r="J266" s="385"/>
      <c r="K266" s="385"/>
      <c r="L266" s="385"/>
      <c r="M266" s="385"/>
      <c r="N266" s="385"/>
      <c r="O266" s="385"/>
    </row>
    <row r="267" spans="2:15" ht="15" customHeight="1" x14ac:dyDescent="0.25">
      <c r="B267" s="386"/>
      <c r="C267" s="384"/>
      <c r="F267" s="385"/>
      <c r="G267" s="385"/>
      <c r="H267" s="385"/>
      <c r="I267" s="385"/>
      <c r="J267" s="385"/>
      <c r="K267" s="385"/>
      <c r="L267" s="385"/>
      <c r="M267" s="385"/>
      <c r="N267" s="385"/>
      <c r="O267" s="385"/>
    </row>
    <row r="268" spans="2:15" ht="15" customHeight="1" x14ac:dyDescent="0.25">
      <c r="B268" s="386"/>
      <c r="C268" s="384"/>
      <c r="F268" s="385"/>
      <c r="G268" s="385"/>
      <c r="H268" s="385"/>
      <c r="I268" s="385"/>
      <c r="J268" s="385"/>
      <c r="K268" s="385"/>
      <c r="L268" s="385"/>
      <c r="M268" s="385"/>
      <c r="N268" s="385"/>
      <c r="O268" s="385"/>
    </row>
    <row r="269" spans="2:15" ht="15" customHeight="1" x14ac:dyDescent="0.25">
      <c r="B269" s="386"/>
      <c r="C269" s="384"/>
      <c r="F269" s="385"/>
      <c r="G269" s="385"/>
      <c r="H269" s="385"/>
      <c r="I269" s="385"/>
      <c r="J269" s="385"/>
      <c r="K269" s="385"/>
      <c r="L269" s="385"/>
      <c r="M269" s="385"/>
      <c r="N269" s="385"/>
      <c r="O269" s="385"/>
    </row>
    <row r="270" spans="2:15" ht="15" customHeight="1" x14ac:dyDescent="0.25">
      <c r="B270" s="386"/>
      <c r="C270" s="384"/>
      <c r="F270" s="385"/>
      <c r="G270" s="385"/>
      <c r="H270" s="385"/>
      <c r="I270" s="385"/>
      <c r="J270" s="385"/>
      <c r="K270" s="385"/>
      <c r="L270" s="385"/>
      <c r="M270" s="385"/>
      <c r="N270" s="385"/>
      <c r="O270" s="385"/>
    </row>
    <row r="271" spans="2:15" ht="15" customHeight="1" x14ac:dyDescent="0.25">
      <c r="B271" s="386"/>
      <c r="C271" s="384"/>
      <c r="F271" s="385"/>
      <c r="G271" s="385"/>
      <c r="H271" s="385"/>
      <c r="I271" s="385"/>
      <c r="J271" s="385"/>
      <c r="K271" s="385"/>
      <c r="L271" s="385"/>
      <c r="M271" s="385"/>
      <c r="N271" s="385"/>
      <c r="O271" s="385"/>
    </row>
    <row r="272" spans="2:15" ht="15" customHeight="1" x14ac:dyDescent="0.25">
      <c r="B272" s="386"/>
      <c r="C272" s="384"/>
      <c r="F272" s="385"/>
      <c r="G272" s="385"/>
      <c r="H272" s="385"/>
      <c r="I272" s="385"/>
      <c r="J272" s="385"/>
      <c r="K272" s="385"/>
      <c r="L272" s="385"/>
      <c r="M272" s="385"/>
      <c r="N272" s="385"/>
      <c r="O272" s="385"/>
    </row>
    <row r="273" spans="2:15" ht="15" customHeight="1" x14ac:dyDescent="0.25">
      <c r="B273" s="386"/>
      <c r="C273" s="384"/>
      <c r="F273" s="385"/>
      <c r="G273" s="385"/>
      <c r="H273" s="385"/>
      <c r="I273" s="385"/>
      <c r="J273" s="385"/>
      <c r="K273" s="385"/>
      <c r="L273" s="385"/>
      <c r="M273" s="385"/>
      <c r="N273" s="385"/>
      <c r="O273" s="385"/>
    </row>
    <row r="274" spans="2:15" ht="15" customHeight="1" x14ac:dyDescent="0.25">
      <c r="B274" s="386"/>
      <c r="C274" s="384"/>
      <c r="F274" s="385"/>
      <c r="G274" s="385"/>
      <c r="H274" s="385"/>
      <c r="I274" s="385"/>
      <c r="J274" s="385"/>
      <c r="K274" s="385"/>
      <c r="L274" s="385"/>
      <c r="M274" s="385"/>
      <c r="N274" s="385"/>
      <c r="O274" s="385"/>
    </row>
    <row r="275" spans="2:15" ht="15" customHeight="1" x14ac:dyDescent="0.25">
      <c r="B275" s="389"/>
      <c r="C275" s="384"/>
      <c r="F275" s="385"/>
      <c r="G275" s="385"/>
      <c r="H275" s="385"/>
      <c r="I275" s="385"/>
      <c r="J275" s="385"/>
      <c r="K275" s="385"/>
      <c r="L275" s="385"/>
      <c r="M275" s="385"/>
      <c r="N275" s="385"/>
      <c r="O275" s="385"/>
    </row>
    <row r="276" spans="2:15" ht="15" customHeight="1" x14ac:dyDescent="0.25">
      <c r="C276" s="384"/>
      <c r="F276" s="385"/>
      <c r="G276" s="385"/>
      <c r="H276" s="385"/>
      <c r="I276" s="385"/>
      <c r="J276" s="385"/>
      <c r="K276" s="385"/>
      <c r="L276" s="385"/>
      <c r="M276" s="385"/>
      <c r="N276" s="385"/>
      <c r="O276" s="385"/>
    </row>
    <row r="277" spans="2:15" ht="15" customHeight="1" x14ac:dyDescent="0.25">
      <c r="B277" s="389"/>
      <c r="C277" s="384"/>
      <c r="F277" s="385"/>
      <c r="G277" s="385"/>
      <c r="H277" s="385"/>
      <c r="I277" s="385"/>
      <c r="J277" s="385"/>
      <c r="K277" s="385"/>
      <c r="L277" s="385"/>
      <c r="M277" s="385"/>
      <c r="N277" s="385"/>
      <c r="O277" s="385"/>
    </row>
    <row r="278" spans="2:15" ht="15" customHeight="1" x14ac:dyDescent="0.25">
      <c r="C278" s="384"/>
      <c r="F278" s="385"/>
      <c r="G278" s="385"/>
      <c r="H278" s="385"/>
      <c r="I278" s="385"/>
      <c r="J278" s="385"/>
      <c r="K278" s="385"/>
      <c r="L278" s="385"/>
      <c r="M278" s="385"/>
      <c r="N278" s="385"/>
      <c r="O278" s="385"/>
    </row>
    <row r="279" spans="2:15" ht="15" customHeight="1" x14ac:dyDescent="0.25">
      <c r="B279" s="386"/>
      <c r="C279" s="384"/>
      <c r="F279" s="385"/>
      <c r="G279" s="385"/>
      <c r="H279" s="385"/>
      <c r="I279" s="385"/>
      <c r="J279" s="385"/>
      <c r="K279" s="385"/>
      <c r="L279" s="385"/>
      <c r="M279" s="385"/>
      <c r="N279" s="385"/>
      <c r="O279" s="385"/>
    </row>
    <row r="280" spans="2:15" ht="15" customHeight="1" x14ac:dyDescent="0.25">
      <c r="B280" s="386"/>
      <c r="C280" s="384"/>
      <c r="F280" s="385"/>
      <c r="G280" s="385"/>
      <c r="H280" s="385"/>
      <c r="I280" s="385"/>
      <c r="J280" s="385"/>
      <c r="K280" s="385"/>
      <c r="L280" s="385"/>
      <c r="M280" s="385"/>
      <c r="N280" s="385"/>
      <c r="O280" s="385"/>
    </row>
    <row r="281" spans="2:15" ht="15" customHeight="1" x14ac:dyDescent="0.25">
      <c r="B281" s="386"/>
      <c r="C281" s="384"/>
      <c r="F281" s="385"/>
      <c r="G281" s="385"/>
      <c r="H281" s="385"/>
      <c r="I281" s="385"/>
      <c r="J281" s="385"/>
      <c r="K281" s="385"/>
      <c r="L281" s="385"/>
      <c r="M281" s="385"/>
      <c r="N281" s="385"/>
      <c r="O281" s="385"/>
    </row>
    <row r="282" spans="2:15" ht="15" customHeight="1" x14ac:dyDescent="0.25">
      <c r="B282" s="389"/>
      <c r="C282" s="384"/>
      <c r="F282" s="385"/>
      <c r="G282" s="385"/>
      <c r="H282" s="385"/>
      <c r="I282" s="385"/>
      <c r="J282" s="385"/>
      <c r="K282" s="385"/>
      <c r="L282" s="385"/>
      <c r="M282" s="385"/>
      <c r="N282" s="385"/>
      <c r="O282" s="385"/>
    </row>
    <row r="283" spans="2:15" ht="15" customHeight="1" x14ac:dyDescent="0.25">
      <c r="C283" s="384"/>
      <c r="F283" s="385"/>
      <c r="G283" s="385"/>
      <c r="H283" s="385"/>
      <c r="I283" s="385"/>
      <c r="J283" s="385"/>
      <c r="K283" s="385"/>
      <c r="L283" s="385"/>
      <c r="M283" s="385"/>
      <c r="N283" s="385"/>
      <c r="O283" s="385"/>
    </row>
    <row r="284" spans="2:15" ht="15" customHeight="1" x14ac:dyDescent="0.25">
      <c r="B284" s="386"/>
      <c r="C284" s="384"/>
      <c r="F284" s="385"/>
      <c r="G284" s="385"/>
      <c r="H284" s="385"/>
      <c r="I284" s="385"/>
      <c r="J284" s="385"/>
      <c r="K284" s="385"/>
      <c r="L284" s="385"/>
      <c r="M284" s="385"/>
      <c r="N284" s="385"/>
      <c r="O284" s="385"/>
    </row>
    <row r="285" spans="2:15" ht="15" customHeight="1" x14ac:dyDescent="0.25">
      <c r="B285" s="386"/>
      <c r="C285" s="384"/>
      <c r="F285" s="385"/>
      <c r="G285" s="385"/>
      <c r="H285" s="385"/>
      <c r="I285" s="385"/>
      <c r="J285" s="385"/>
      <c r="K285" s="385"/>
      <c r="L285" s="385"/>
      <c r="M285" s="385"/>
      <c r="N285" s="385"/>
      <c r="O285" s="385"/>
    </row>
    <row r="286" spans="2:15" ht="15" customHeight="1" x14ac:dyDescent="0.25">
      <c r="B286" s="389"/>
      <c r="C286" s="384"/>
      <c r="F286" s="385"/>
      <c r="G286" s="385"/>
      <c r="H286" s="385"/>
      <c r="I286" s="385"/>
      <c r="J286" s="385"/>
      <c r="K286" s="385"/>
      <c r="L286" s="385"/>
      <c r="M286" s="385"/>
      <c r="N286" s="385"/>
      <c r="O286" s="385"/>
    </row>
    <row r="287" spans="2:15" ht="15" customHeight="1" x14ac:dyDescent="0.25">
      <c r="C287" s="384"/>
      <c r="F287" s="385"/>
      <c r="G287" s="385"/>
      <c r="H287" s="385"/>
      <c r="I287" s="385"/>
      <c r="J287" s="385"/>
      <c r="K287" s="385"/>
      <c r="L287" s="385"/>
      <c r="M287" s="385"/>
      <c r="N287" s="385"/>
      <c r="O287" s="385"/>
    </row>
    <row r="288" spans="2:15" ht="15" customHeight="1" x14ac:dyDescent="0.25">
      <c r="B288" s="388"/>
      <c r="C288" s="390"/>
      <c r="F288" s="385"/>
      <c r="G288" s="385"/>
      <c r="H288" s="385"/>
      <c r="I288" s="385"/>
      <c r="J288" s="385"/>
      <c r="K288" s="385"/>
      <c r="L288" s="385"/>
      <c r="M288" s="385"/>
      <c r="N288" s="385"/>
      <c r="O288" s="385"/>
    </row>
    <row r="289" spans="2:16" ht="15" customHeight="1" x14ac:dyDescent="0.25">
      <c r="B289" s="389"/>
      <c r="C289" s="384"/>
      <c r="F289" s="385"/>
      <c r="G289" s="385"/>
      <c r="H289" s="385"/>
      <c r="I289" s="385"/>
      <c r="J289" s="385"/>
      <c r="K289" s="385"/>
      <c r="L289" s="385"/>
      <c r="M289" s="385"/>
      <c r="N289" s="385"/>
      <c r="O289" s="385"/>
    </row>
    <row r="290" spans="2:16" ht="15" customHeight="1" x14ac:dyDescent="0.25">
      <c r="B290" s="389"/>
      <c r="C290" s="384"/>
      <c r="F290" s="385"/>
      <c r="G290" s="385"/>
      <c r="H290" s="385"/>
      <c r="I290" s="385"/>
      <c r="J290" s="385"/>
      <c r="K290" s="385"/>
      <c r="L290" s="385"/>
      <c r="M290" s="385"/>
      <c r="N290" s="385"/>
      <c r="O290" s="385"/>
    </row>
    <row r="291" spans="2:16" ht="15" customHeight="1" x14ac:dyDescent="0.25">
      <c r="C291" s="390"/>
      <c r="F291" s="385"/>
      <c r="G291" s="385"/>
      <c r="H291" s="385"/>
      <c r="I291" s="385"/>
      <c r="J291" s="385"/>
      <c r="K291" s="385"/>
      <c r="L291" s="385"/>
      <c r="M291" s="385"/>
      <c r="N291" s="385"/>
      <c r="O291" s="385"/>
    </row>
    <row r="292" spans="2:16" ht="15" customHeight="1" x14ac:dyDescent="0.25">
      <c r="F292" s="385"/>
      <c r="G292" s="385"/>
      <c r="H292" s="385"/>
      <c r="I292" s="385"/>
      <c r="J292" s="385"/>
      <c r="K292" s="385"/>
      <c r="L292" s="385"/>
      <c r="M292" s="385"/>
      <c r="N292" s="385"/>
      <c r="O292" s="385"/>
    </row>
    <row r="293" spans="2:16" ht="15" customHeight="1" x14ac:dyDescent="0.25">
      <c r="H293" s="385"/>
      <c r="I293" s="385"/>
      <c r="J293" s="385"/>
      <c r="K293" s="385"/>
      <c r="L293" s="385"/>
      <c r="M293" s="385"/>
      <c r="N293" s="385"/>
      <c r="O293" s="385"/>
    </row>
    <row r="294" spans="2:16" ht="15" customHeight="1" x14ac:dyDescent="0.25">
      <c r="M294" s="391"/>
      <c r="N294" s="391"/>
      <c r="O294" s="391"/>
      <c r="P294" s="392"/>
    </row>
    <row r="295" spans="2:16" ht="15" customHeight="1" x14ac:dyDescent="0.25">
      <c r="M295" s="391"/>
      <c r="N295" s="391"/>
      <c r="O295" s="391"/>
      <c r="P295" s="392"/>
    </row>
    <row r="296" spans="2:16" ht="15" customHeight="1" x14ac:dyDescent="0.25">
      <c r="M296" s="391"/>
      <c r="N296" s="391"/>
      <c r="O296" s="391"/>
      <c r="P296" s="392"/>
    </row>
    <row r="297" spans="2:16" ht="15" customHeight="1" x14ac:dyDescent="0.25">
      <c r="M297" s="391"/>
      <c r="N297" s="391"/>
      <c r="O297" s="391"/>
      <c r="P297" s="392"/>
    </row>
    <row r="298" spans="2:16" ht="15" customHeight="1" x14ac:dyDescent="0.25">
      <c r="M298" s="391"/>
      <c r="N298" s="391"/>
      <c r="O298" s="391"/>
      <c r="P298" s="392"/>
    </row>
    <row r="299" spans="2:16" ht="15" customHeight="1" x14ac:dyDescent="0.25">
      <c r="M299" s="391"/>
      <c r="N299" s="391"/>
      <c r="O299" s="391"/>
    </row>
    <row r="300" spans="2:16" ht="15" customHeight="1" x14ac:dyDescent="0.25"/>
    <row r="301" spans="2:16" ht="15" customHeight="1" x14ac:dyDescent="0.25"/>
    <row r="302" spans="2:16" ht="15" customHeight="1" x14ac:dyDescent="0.25"/>
    <row r="303" spans="2:16" ht="15" customHeight="1" x14ac:dyDescent="0.25"/>
    <row r="304" spans="2:16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</sheetData>
  <protectedRanges>
    <protectedRange sqref="K13:L33" name="Range1_1"/>
  </protectedRanges>
  <mergeCells count="11">
    <mergeCell ref="A12:D12"/>
    <mergeCell ref="F12:G12"/>
    <mergeCell ref="A4:G4"/>
    <mergeCell ref="A5:G5"/>
    <mergeCell ref="A6:G6"/>
    <mergeCell ref="A8:A9"/>
    <mergeCell ref="B8:B9"/>
    <mergeCell ref="C8:C9"/>
    <mergeCell ref="D8:D9"/>
    <mergeCell ref="F8:F9"/>
    <mergeCell ref="G8:G9"/>
  </mergeCells>
  <pageMargins left="0.7" right="0.7" top="0.75" bottom="0.75" header="0.3" footer="0.3"/>
  <pageSetup paperSize="9" scale="72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C000"/>
    <pageSetUpPr fitToPage="1"/>
  </sheetPr>
  <dimension ref="B1:K37"/>
  <sheetViews>
    <sheetView view="pageBreakPreview" zoomScale="80" zoomScaleNormal="100" zoomScaleSheetLayoutView="80" workbookViewId="0">
      <selection activeCell="K21" sqref="K21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1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30" customHeight="1" x14ac:dyDescent="0.25">
      <c r="B2" s="1454" t="s">
        <v>1758</v>
      </c>
      <c r="C2" s="1454"/>
      <c r="D2" s="1454"/>
      <c r="E2" s="1454"/>
      <c r="F2" s="1454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e">
        <f>DG!#REF!</f>
        <v>#REF!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3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10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427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427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97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79"/>
      <c r="G11" s="32"/>
    </row>
    <row r="12" spans="2:11" ht="13.9" x14ac:dyDescent="0.3">
      <c r="B12" s="37">
        <v>4.0999999999999996</v>
      </c>
      <c r="C12" s="818" t="s">
        <v>1276</v>
      </c>
      <c r="D12" s="428" t="e">
        <f>SUM(D13:D16)</f>
        <v>#REF!</v>
      </c>
      <c r="E12" s="428" t="e">
        <f t="shared" ref="E12:F12" si="0">SUM(E13:E16)</f>
        <v>#REF!</v>
      </c>
      <c r="F12" s="428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430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430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430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429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430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430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430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430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430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>
        <v>0</v>
      </c>
      <c r="E22" s="430">
        <f t="shared" si="2"/>
        <v>0</v>
      </c>
      <c r="F22" s="430">
        <f t="shared" si="3"/>
        <v>0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431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8571.15</v>
      </c>
      <c r="E24" s="430">
        <f>D24*$I$4</f>
        <v>1628.5184999999999</v>
      </c>
      <c r="F24" s="430">
        <f>D24+E24</f>
        <v>10199.6685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8571.15</v>
      </c>
      <c r="E25" s="432">
        <f t="shared" si="4"/>
        <v>1628.5184999999999</v>
      </c>
      <c r="F25" s="432">
        <f t="shared" si="4"/>
        <v>10199.6685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29">
        <f>'14-LU'!E12</f>
        <v>57141</v>
      </c>
      <c r="E26" s="430">
        <f>D26*$I$4</f>
        <v>10856.79</v>
      </c>
      <c r="F26" s="430">
        <f>D26+E26</f>
        <v>67997.790000000008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430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v>0</v>
      </c>
      <c r="E28" s="430">
        <f>D28*$I$4</f>
        <v>0</v>
      </c>
      <c r="F28" s="430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430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57141</v>
      </c>
      <c r="E30" s="433">
        <f>SUM(E26:E29)</f>
        <v>10856.79</v>
      </c>
      <c r="F30" s="433">
        <f>SUM(F26:F29)</f>
        <v>67997.790000000008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434" t="e">
        <f>F23+F25+F30</f>
        <v>#REF!</v>
      </c>
      <c r="G31" s="32"/>
      <c r="H31" s="28"/>
      <c r="I31" s="28"/>
    </row>
    <row r="32" spans="2:9" x14ac:dyDescent="0.25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 t="s">
        <v>1448</v>
      </c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</sheetData>
  <protectedRanges>
    <protectedRange sqref="H13:I31" name="Range1_1"/>
  </protectedRanges>
  <mergeCells count="9">
    <mergeCell ref="B25:C25"/>
    <mergeCell ref="B30:C30"/>
    <mergeCell ref="B31:C31"/>
    <mergeCell ref="B2:F2"/>
    <mergeCell ref="B4:F5"/>
    <mergeCell ref="B8:B9"/>
    <mergeCell ref="C8:C9"/>
    <mergeCell ref="B11:F11"/>
    <mergeCell ref="B23:C23"/>
  </mergeCells>
  <pageMargins left="0.7" right="0.7" top="0.75" bottom="0.75" header="0.3" footer="0.3"/>
  <pageSetup paperSize="9" scale="84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FF00"/>
    <pageSetUpPr fitToPage="1"/>
  </sheetPr>
  <dimension ref="A1:P309"/>
  <sheetViews>
    <sheetView view="pageBreakPreview" zoomScale="80" zoomScaleNormal="70" zoomScaleSheetLayoutView="80" workbookViewId="0">
      <selection activeCell="K21" sqref="K21"/>
    </sheetView>
  </sheetViews>
  <sheetFormatPr defaultColWidth="10.7109375" defaultRowHeight="12.75" x14ac:dyDescent="0.25"/>
  <cols>
    <col min="1" max="1" width="7.85546875" style="360" customWidth="1"/>
    <col min="2" max="2" width="38" style="373" customWidth="1"/>
    <col min="3" max="3" width="8.42578125" style="374" customWidth="1"/>
    <col min="4" max="4" width="15.7109375" style="375" customWidth="1"/>
    <col min="5" max="5" width="17.85546875" style="375" customWidth="1"/>
    <col min="6" max="6" width="31.85546875" style="360" hidden="1" customWidth="1"/>
    <col min="7" max="7" width="33.28515625" style="360" customWidth="1"/>
    <col min="8" max="255" width="10.7109375" style="360"/>
    <col min="256" max="256" width="13.140625" style="360" customWidth="1"/>
    <col min="257" max="257" width="38" style="360" customWidth="1"/>
    <col min="258" max="258" width="8.42578125" style="360" customWidth="1"/>
    <col min="259" max="259" width="15.7109375" style="360" customWidth="1"/>
    <col min="260" max="260" width="18.28515625" style="360" customWidth="1"/>
    <col min="261" max="261" width="17.85546875" style="360" customWidth="1"/>
    <col min="262" max="262" width="0" style="360" hidden="1" customWidth="1"/>
    <col min="263" max="263" width="33.28515625" style="360" customWidth="1"/>
    <col min="264" max="511" width="10.7109375" style="360"/>
    <col min="512" max="512" width="13.140625" style="360" customWidth="1"/>
    <col min="513" max="513" width="38" style="360" customWidth="1"/>
    <col min="514" max="514" width="8.42578125" style="360" customWidth="1"/>
    <col min="515" max="515" width="15.7109375" style="360" customWidth="1"/>
    <col min="516" max="516" width="18.28515625" style="360" customWidth="1"/>
    <col min="517" max="517" width="17.85546875" style="360" customWidth="1"/>
    <col min="518" max="518" width="0" style="360" hidden="1" customWidth="1"/>
    <col min="519" max="519" width="33.28515625" style="360" customWidth="1"/>
    <col min="520" max="767" width="10.7109375" style="360"/>
    <col min="768" max="768" width="13.140625" style="360" customWidth="1"/>
    <col min="769" max="769" width="38" style="360" customWidth="1"/>
    <col min="770" max="770" width="8.42578125" style="360" customWidth="1"/>
    <col min="771" max="771" width="15.7109375" style="360" customWidth="1"/>
    <col min="772" max="772" width="18.28515625" style="360" customWidth="1"/>
    <col min="773" max="773" width="17.85546875" style="360" customWidth="1"/>
    <col min="774" max="774" width="0" style="360" hidden="1" customWidth="1"/>
    <col min="775" max="775" width="33.28515625" style="360" customWidth="1"/>
    <col min="776" max="1023" width="10.7109375" style="360"/>
    <col min="1024" max="1024" width="13.140625" style="360" customWidth="1"/>
    <col min="1025" max="1025" width="38" style="360" customWidth="1"/>
    <col min="1026" max="1026" width="8.42578125" style="360" customWidth="1"/>
    <col min="1027" max="1027" width="15.7109375" style="360" customWidth="1"/>
    <col min="1028" max="1028" width="18.28515625" style="360" customWidth="1"/>
    <col min="1029" max="1029" width="17.85546875" style="360" customWidth="1"/>
    <col min="1030" max="1030" width="0" style="360" hidden="1" customWidth="1"/>
    <col min="1031" max="1031" width="33.28515625" style="360" customWidth="1"/>
    <col min="1032" max="1279" width="10.7109375" style="360"/>
    <col min="1280" max="1280" width="13.140625" style="360" customWidth="1"/>
    <col min="1281" max="1281" width="38" style="360" customWidth="1"/>
    <col min="1282" max="1282" width="8.42578125" style="360" customWidth="1"/>
    <col min="1283" max="1283" width="15.7109375" style="360" customWidth="1"/>
    <col min="1284" max="1284" width="18.28515625" style="360" customWidth="1"/>
    <col min="1285" max="1285" width="17.85546875" style="360" customWidth="1"/>
    <col min="1286" max="1286" width="0" style="360" hidden="1" customWidth="1"/>
    <col min="1287" max="1287" width="33.28515625" style="360" customWidth="1"/>
    <col min="1288" max="1535" width="10.7109375" style="360"/>
    <col min="1536" max="1536" width="13.140625" style="360" customWidth="1"/>
    <col min="1537" max="1537" width="38" style="360" customWidth="1"/>
    <col min="1538" max="1538" width="8.42578125" style="360" customWidth="1"/>
    <col min="1539" max="1539" width="15.7109375" style="360" customWidth="1"/>
    <col min="1540" max="1540" width="18.28515625" style="360" customWidth="1"/>
    <col min="1541" max="1541" width="17.85546875" style="360" customWidth="1"/>
    <col min="1542" max="1542" width="0" style="360" hidden="1" customWidth="1"/>
    <col min="1543" max="1543" width="33.28515625" style="360" customWidth="1"/>
    <col min="1544" max="1791" width="10.7109375" style="360"/>
    <col min="1792" max="1792" width="13.140625" style="360" customWidth="1"/>
    <col min="1793" max="1793" width="38" style="360" customWidth="1"/>
    <col min="1794" max="1794" width="8.42578125" style="360" customWidth="1"/>
    <col min="1795" max="1795" width="15.7109375" style="360" customWidth="1"/>
    <col min="1796" max="1796" width="18.28515625" style="360" customWidth="1"/>
    <col min="1797" max="1797" width="17.85546875" style="360" customWidth="1"/>
    <col min="1798" max="1798" width="0" style="360" hidden="1" customWidth="1"/>
    <col min="1799" max="1799" width="33.28515625" style="360" customWidth="1"/>
    <col min="1800" max="2047" width="10.7109375" style="360"/>
    <col min="2048" max="2048" width="13.140625" style="360" customWidth="1"/>
    <col min="2049" max="2049" width="38" style="360" customWidth="1"/>
    <col min="2050" max="2050" width="8.42578125" style="360" customWidth="1"/>
    <col min="2051" max="2051" width="15.7109375" style="360" customWidth="1"/>
    <col min="2052" max="2052" width="18.28515625" style="360" customWidth="1"/>
    <col min="2053" max="2053" width="17.85546875" style="360" customWidth="1"/>
    <col min="2054" max="2054" width="0" style="360" hidden="1" customWidth="1"/>
    <col min="2055" max="2055" width="33.28515625" style="360" customWidth="1"/>
    <col min="2056" max="2303" width="10.7109375" style="360"/>
    <col min="2304" max="2304" width="13.140625" style="360" customWidth="1"/>
    <col min="2305" max="2305" width="38" style="360" customWidth="1"/>
    <col min="2306" max="2306" width="8.42578125" style="360" customWidth="1"/>
    <col min="2307" max="2307" width="15.7109375" style="360" customWidth="1"/>
    <col min="2308" max="2308" width="18.28515625" style="360" customWidth="1"/>
    <col min="2309" max="2309" width="17.85546875" style="360" customWidth="1"/>
    <col min="2310" max="2310" width="0" style="360" hidden="1" customWidth="1"/>
    <col min="2311" max="2311" width="33.28515625" style="360" customWidth="1"/>
    <col min="2312" max="2559" width="10.7109375" style="360"/>
    <col min="2560" max="2560" width="13.140625" style="360" customWidth="1"/>
    <col min="2561" max="2561" width="38" style="360" customWidth="1"/>
    <col min="2562" max="2562" width="8.42578125" style="360" customWidth="1"/>
    <col min="2563" max="2563" width="15.7109375" style="360" customWidth="1"/>
    <col min="2564" max="2564" width="18.28515625" style="360" customWidth="1"/>
    <col min="2565" max="2565" width="17.85546875" style="360" customWidth="1"/>
    <col min="2566" max="2566" width="0" style="360" hidden="1" customWidth="1"/>
    <col min="2567" max="2567" width="33.28515625" style="360" customWidth="1"/>
    <col min="2568" max="2815" width="10.7109375" style="360"/>
    <col min="2816" max="2816" width="13.140625" style="360" customWidth="1"/>
    <col min="2817" max="2817" width="38" style="360" customWidth="1"/>
    <col min="2818" max="2818" width="8.42578125" style="360" customWidth="1"/>
    <col min="2819" max="2819" width="15.7109375" style="360" customWidth="1"/>
    <col min="2820" max="2820" width="18.28515625" style="360" customWidth="1"/>
    <col min="2821" max="2821" width="17.85546875" style="360" customWidth="1"/>
    <col min="2822" max="2822" width="0" style="360" hidden="1" customWidth="1"/>
    <col min="2823" max="2823" width="33.28515625" style="360" customWidth="1"/>
    <col min="2824" max="3071" width="10.7109375" style="360"/>
    <col min="3072" max="3072" width="13.140625" style="360" customWidth="1"/>
    <col min="3073" max="3073" width="38" style="360" customWidth="1"/>
    <col min="3074" max="3074" width="8.42578125" style="360" customWidth="1"/>
    <col min="3075" max="3075" width="15.7109375" style="360" customWidth="1"/>
    <col min="3076" max="3076" width="18.28515625" style="360" customWidth="1"/>
    <col min="3077" max="3077" width="17.85546875" style="360" customWidth="1"/>
    <col min="3078" max="3078" width="0" style="360" hidden="1" customWidth="1"/>
    <col min="3079" max="3079" width="33.28515625" style="360" customWidth="1"/>
    <col min="3080" max="3327" width="10.7109375" style="360"/>
    <col min="3328" max="3328" width="13.140625" style="360" customWidth="1"/>
    <col min="3329" max="3329" width="38" style="360" customWidth="1"/>
    <col min="3330" max="3330" width="8.42578125" style="360" customWidth="1"/>
    <col min="3331" max="3331" width="15.7109375" style="360" customWidth="1"/>
    <col min="3332" max="3332" width="18.28515625" style="360" customWidth="1"/>
    <col min="3333" max="3333" width="17.85546875" style="360" customWidth="1"/>
    <col min="3334" max="3334" width="0" style="360" hidden="1" customWidth="1"/>
    <col min="3335" max="3335" width="33.28515625" style="360" customWidth="1"/>
    <col min="3336" max="3583" width="10.7109375" style="360"/>
    <col min="3584" max="3584" width="13.140625" style="360" customWidth="1"/>
    <col min="3585" max="3585" width="38" style="360" customWidth="1"/>
    <col min="3586" max="3586" width="8.42578125" style="360" customWidth="1"/>
    <col min="3587" max="3587" width="15.7109375" style="360" customWidth="1"/>
    <col min="3588" max="3588" width="18.28515625" style="360" customWidth="1"/>
    <col min="3589" max="3589" width="17.85546875" style="360" customWidth="1"/>
    <col min="3590" max="3590" width="0" style="360" hidden="1" customWidth="1"/>
    <col min="3591" max="3591" width="33.28515625" style="360" customWidth="1"/>
    <col min="3592" max="3839" width="10.7109375" style="360"/>
    <col min="3840" max="3840" width="13.140625" style="360" customWidth="1"/>
    <col min="3841" max="3841" width="38" style="360" customWidth="1"/>
    <col min="3842" max="3842" width="8.42578125" style="360" customWidth="1"/>
    <col min="3843" max="3843" width="15.7109375" style="360" customWidth="1"/>
    <col min="3844" max="3844" width="18.28515625" style="360" customWidth="1"/>
    <col min="3845" max="3845" width="17.85546875" style="360" customWidth="1"/>
    <col min="3846" max="3846" width="0" style="360" hidden="1" customWidth="1"/>
    <col min="3847" max="3847" width="33.28515625" style="360" customWidth="1"/>
    <col min="3848" max="4095" width="10.7109375" style="360"/>
    <col min="4096" max="4096" width="13.140625" style="360" customWidth="1"/>
    <col min="4097" max="4097" width="38" style="360" customWidth="1"/>
    <col min="4098" max="4098" width="8.42578125" style="360" customWidth="1"/>
    <col min="4099" max="4099" width="15.7109375" style="360" customWidth="1"/>
    <col min="4100" max="4100" width="18.28515625" style="360" customWidth="1"/>
    <col min="4101" max="4101" width="17.85546875" style="360" customWidth="1"/>
    <col min="4102" max="4102" width="0" style="360" hidden="1" customWidth="1"/>
    <col min="4103" max="4103" width="33.28515625" style="360" customWidth="1"/>
    <col min="4104" max="4351" width="10.7109375" style="360"/>
    <col min="4352" max="4352" width="13.140625" style="360" customWidth="1"/>
    <col min="4353" max="4353" width="38" style="360" customWidth="1"/>
    <col min="4354" max="4354" width="8.42578125" style="360" customWidth="1"/>
    <col min="4355" max="4355" width="15.7109375" style="360" customWidth="1"/>
    <col min="4356" max="4356" width="18.28515625" style="360" customWidth="1"/>
    <col min="4357" max="4357" width="17.85546875" style="360" customWidth="1"/>
    <col min="4358" max="4358" width="0" style="360" hidden="1" customWidth="1"/>
    <col min="4359" max="4359" width="33.28515625" style="360" customWidth="1"/>
    <col min="4360" max="4607" width="10.7109375" style="360"/>
    <col min="4608" max="4608" width="13.140625" style="360" customWidth="1"/>
    <col min="4609" max="4609" width="38" style="360" customWidth="1"/>
    <col min="4610" max="4610" width="8.42578125" style="360" customWidth="1"/>
    <col min="4611" max="4611" width="15.7109375" style="360" customWidth="1"/>
    <col min="4612" max="4612" width="18.28515625" style="360" customWidth="1"/>
    <col min="4613" max="4613" width="17.85546875" style="360" customWidth="1"/>
    <col min="4614" max="4614" width="0" style="360" hidden="1" customWidth="1"/>
    <col min="4615" max="4615" width="33.28515625" style="360" customWidth="1"/>
    <col min="4616" max="4863" width="10.7109375" style="360"/>
    <col min="4864" max="4864" width="13.140625" style="360" customWidth="1"/>
    <col min="4865" max="4865" width="38" style="360" customWidth="1"/>
    <col min="4866" max="4866" width="8.42578125" style="360" customWidth="1"/>
    <col min="4867" max="4867" width="15.7109375" style="360" customWidth="1"/>
    <col min="4868" max="4868" width="18.28515625" style="360" customWidth="1"/>
    <col min="4869" max="4869" width="17.85546875" style="360" customWidth="1"/>
    <col min="4870" max="4870" width="0" style="360" hidden="1" customWidth="1"/>
    <col min="4871" max="4871" width="33.28515625" style="360" customWidth="1"/>
    <col min="4872" max="5119" width="10.7109375" style="360"/>
    <col min="5120" max="5120" width="13.140625" style="360" customWidth="1"/>
    <col min="5121" max="5121" width="38" style="360" customWidth="1"/>
    <col min="5122" max="5122" width="8.42578125" style="360" customWidth="1"/>
    <col min="5123" max="5123" width="15.7109375" style="360" customWidth="1"/>
    <col min="5124" max="5124" width="18.28515625" style="360" customWidth="1"/>
    <col min="5125" max="5125" width="17.85546875" style="360" customWidth="1"/>
    <col min="5126" max="5126" width="0" style="360" hidden="1" customWidth="1"/>
    <col min="5127" max="5127" width="33.28515625" style="360" customWidth="1"/>
    <col min="5128" max="5375" width="10.7109375" style="360"/>
    <col min="5376" max="5376" width="13.140625" style="360" customWidth="1"/>
    <col min="5377" max="5377" width="38" style="360" customWidth="1"/>
    <col min="5378" max="5378" width="8.42578125" style="360" customWidth="1"/>
    <col min="5379" max="5379" width="15.7109375" style="360" customWidth="1"/>
    <col min="5380" max="5380" width="18.28515625" style="360" customWidth="1"/>
    <col min="5381" max="5381" width="17.85546875" style="360" customWidth="1"/>
    <col min="5382" max="5382" width="0" style="360" hidden="1" customWidth="1"/>
    <col min="5383" max="5383" width="33.28515625" style="360" customWidth="1"/>
    <col min="5384" max="5631" width="10.7109375" style="360"/>
    <col min="5632" max="5632" width="13.140625" style="360" customWidth="1"/>
    <col min="5633" max="5633" width="38" style="360" customWidth="1"/>
    <col min="5634" max="5634" width="8.42578125" style="360" customWidth="1"/>
    <col min="5635" max="5635" width="15.7109375" style="360" customWidth="1"/>
    <col min="5636" max="5636" width="18.28515625" style="360" customWidth="1"/>
    <col min="5637" max="5637" width="17.85546875" style="360" customWidth="1"/>
    <col min="5638" max="5638" width="0" style="360" hidden="1" customWidth="1"/>
    <col min="5639" max="5639" width="33.28515625" style="360" customWidth="1"/>
    <col min="5640" max="5887" width="10.7109375" style="360"/>
    <col min="5888" max="5888" width="13.140625" style="360" customWidth="1"/>
    <col min="5889" max="5889" width="38" style="360" customWidth="1"/>
    <col min="5890" max="5890" width="8.42578125" style="360" customWidth="1"/>
    <col min="5891" max="5891" width="15.7109375" style="360" customWidth="1"/>
    <col min="5892" max="5892" width="18.28515625" style="360" customWidth="1"/>
    <col min="5893" max="5893" width="17.85546875" style="360" customWidth="1"/>
    <col min="5894" max="5894" width="0" style="360" hidden="1" customWidth="1"/>
    <col min="5895" max="5895" width="33.28515625" style="360" customWidth="1"/>
    <col min="5896" max="6143" width="10.7109375" style="360"/>
    <col min="6144" max="6144" width="13.140625" style="360" customWidth="1"/>
    <col min="6145" max="6145" width="38" style="360" customWidth="1"/>
    <col min="6146" max="6146" width="8.42578125" style="360" customWidth="1"/>
    <col min="6147" max="6147" width="15.7109375" style="360" customWidth="1"/>
    <col min="6148" max="6148" width="18.28515625" style="360" customWidth="1"/>
    <col min="6149" max="6149" width="17.85546875" style="360" customWidth="1"/>
    <col min="6150" max="6150" width="0" style="360" hidden="1" customWidth="1"/>
    <col min="6151" max="6151" width="33.28515625" style="360" customWidth="1"/>
    <col min="6152" max="6399" width="10.7109375" style="360"/>
    <col min="6400" max="6400" width="13.140625" style="360" customWidth="1"/>
    <col min="6401" max="6401" width="38" style="360" customWidth="1"/>
    <col min="6402" max="6402" width="8.42578125" style="360" customWidth="1"/>
    <col min="6403" max="6403" width="15.7109375" style="360" customWidth="1"/>
    <col min="6404" max="6404" width="18.28515625" style="360" customWidth="1"/>
    <col min="6405" max="6405" width="17.85546875" style="360" customWidth="1"/>
    <col min="6406" max="6406" width="0" style="360" hidden="1" customWidth="1"/>
    <col min="6407" max="6407" width="33.28515625" style="360" customWidth="1"/>
    <col min="6408" max="6655" width="10.7109375" style="360"/>
    <col min="6656" max="6656" width="13.140625" style="360" customWidth="1"/>
    <col min="6657" max="6657" width="38" style="360" customWidth="1"/>
    <col min="6658" max="6658" width="8.42578125" style="360" customWidth="1"/>
    <col min="6659" max="6659" width="15.7109375" style="360" customWidth="1"/>
    <col min="6660" max="6660" width="18.28515625" style="360" customWidth="1"/>
    <col min="6661" max="6661" width="17.85546875" style="360" customWidth="1"/>
    <col min="6662" max="6662" width="0" style="360" hidden="1" customWidth="1"/>
    <col min="6663" max="6663" width="33.28515625" style="360" customWidth="1"/>
    <col min="6664" max="6911" width="10.7109375" style="360"/>
    <col min="6912" max="6912" width="13.140625" style="360" customWidth="1"/>
    <col min="6913" max="6913" width="38" style="360" customWidth="1"/>
    <col min="6914" max="6914" width="8.42578125" style="360" customWidth="1"/>
    <col min="6915" max="6915" width="15.7109375" style="360" customWidth="1"/>
    <col min="6916" max="6916" width="18.28515625" style="360" customWidth="1"/>
    <col min="6917" max="6917" width="17.85546875" style="360" customWidth="1"/>
    <col min="6918" max="6918" width="0" style="360" hidden="1" customWidth="1"/>
    <col min="6919" max="6919" width="33.28515625" style="360" customWidth="1"/>
    <col min="6920" max="7167" width="10.7109375" style="360"/>
    <col min="7168" max="7168" width="13.140625" style="360" customWidth="1"/>
    <col min="7169" max="7169" width="38" style="360" customWidth="1"/>
    <col min="7170" max="7170" width="8.42578125" style="360" customWidth="1"/>
    <col min="7171" max="7171" width="15.7109375" style="360" customWidth="1"/>
    <col min="7172" max="7172" width="18.28515625" style="360" customWidth="1"/>
    <col min="7173" max="7173" width="17.85546875" style="360" customWidth="1"/>
    <col min="7174" max="7174" width="0" style="360" hidden="1" customWidth="1"/>
    <col min="7175" max="7175" width="33.28515625" style="360" customWidth="1"/>
    <col min="7176" max="7423" width="10.7109375" style="360"/>
    <col min="7424" max="7424" width="13.140625" style="360" customWidth="1"/>
    <col min="7425" max="7425" width="38" style="360" customWidth="1"/>
    <col min="7426" max="7426" width="8.42578125" style="360" customWidth="1"/>
    <col min="7427" max="7427" width="15.7109375" style="360" customWidth="1"/>
    <col min="7428" max="7428" width="18.28515625" style="360" customWidth="1"/>
    <col min="7429" max="7429" width="17.85546875" style="360" customWidth="1"/>
    <col min="7430" max="7430" width="0" style="360" hidden="1" customWidth="1"/>
    <col min="7431" max="7431" width="33.28515625" style="360" customWidth="1"/>
    <col min="7432" max="7679" width="10.7109375" style="360"/>
    <col min="7680" max="7680" width="13.140625" style="360" customWidth="1"/>
    <col min="7681" max="7681" width="38" style="360" customWidth="1"/>
    <col min="7682" max="7682" width="8.42578125" style="360" customWidth="1"/>
    <col min="7683" max="7683" width="15.7109375" style="360" customWidth="1"/>
    <col min="7684" max="7684" width="18.28515625" style="360" customWidth="1"/>
    <col min="7685" max="7685" width="17.85546875" style="360" customWidth="1"/>
    <col min="7686" max="7686" width="0" style="360" hidden="1" customWidth="1"/>
    <col min="7687" max="7687" width="33.28515625" style="360" customWidth="1"/>
    <col min="7688" max="7935" width="10.7109375" style="360"/>
    <col min="7936" max="7936" width="13.140625" style="360" customWidth="1"/>
    <col min="7937" max="7937" width="38" style="360" customWidth="1"/>
    <col min="7938" max="7938" width="8.42578125" style="360" customWidth="1"/>
    <col min="7939" max="7939" width="15.7109375" style="360" customWidth="1"/>
    <col min="7940" max="7940" width="18.28515625" style="360" customWidth="1"/>
    <col min="7941" max="7941" width="17.85546875" style="360" customWidth="1"/>
    <col min="7942" max="7942" width="0" style="360" hidden="1" customWidth="1"/>
    <col min="7943" max="7943" width="33.28515625" style="360" customWidth="1"/>
    <col min="7944" max="8191" width="10.7109375" style="360"/>
    <col min="8192" max="8192" width="13.140625" style="360" customWidth="1"/>
    <col min="8193" max="8193" width="38" style="360" customWidth="1"/>
    <col min="8194" max="8194" width="8.42578125" style="360" customWidth="1"/>
    <col min="8195" max="8195" width="15.7109375" style="360" customWidth="1"/>
    <col min="8196" max="8196" width="18.28515625" style="360" customWidth="1"/>
    <col min="8197" max="8197" width="17.85546875" style="360" customWidth="1"/>
    <col min="8198" max="8198" width="0" style="360" hidden="1" customWidth="1"/>
    <col min="8199" max="8199" width="33.28515625" style="360" customWidth="1"/>
    <col min="8200" max="8447" width="10.7109375" style="360"/>
    <col min="8448" max="8448" width="13.140625" style="360" customWidth="1"/>
    <col min="8449" max="8449" width="38" style="360" customWidth="1"/>
    <col min="8450" max="8450" width="8.42578125" style="360" customWidth="1"/>
    <col min="8451" max="8451" width="15.7109375" style="360" customWidth="1"/>
    <col min="8452" max="8452" width="18.28515625" style="360" customWidth="1"/>
    <col min="8453" max="8453" width="17.85546875" style="360" customWidth="1"/>
    <col min="8454" max="8454" width="0" style="360" hidden="1" customWidth="1"/>
    <col min="8455" max="8455" width="33.28515625" style="360" customWidth="1"/>
    <col min="8456" max="8703" width="10.7109375" style="360"/>
    <col min="8704" max="8704" width="13.140625" style="360" customWidth="1"/>
    <col min="8705" max="8705" width="38" style="360" customWidth="1"/>
    <col min="8706" max="8706" width="8.42578125" style="360" customWidth="1"/>
    <col min="8707" max="8707" width="15.7109375" style="360" customWidth="1"/>
    <col min="8708" max="8708" width="18.28515625" style="360" customWidth="1"/>
    <col min="8709" max="8709" width="17.85546875" style="360" customWidth="1"/>
    <col min="8710" max="8710" width="0" style="360" hidden="1" customWidth="1"/>
    <col min="8711" max="8711" width="33.28515625" style="360" customWidth="1"/>
    <col min="8712" max="8959" width="10.7109375" style="360"/>
    <col min="8960" max="8960" width="13.140625" style="360" customWidth="1"/>
    <col min="8961" max="8961" width="38" style="360" customWidth="1"/>
    <col min="8962" max="8962" width="8.42578125" style="360" customWidth="1"/>
    <col min="8963" max="8963" width="15.7109375" style="360" customWidth="1"/>
    <col min="8964" max="8964" width="18.28515625" style="360" customWidth="1"/>
    <col min="8965" max="8965" width="17.85546875" style="360" customWidth="1"/>
    <col min="8966" max="8966" width="0" style="360" hidden="1" customWidth="1"/>
    <col min="8967" max="8967" width="33.28515625" style="360" customWidth="1"/>
    <col min="8968" max="9215" width="10.7109375" style="360"/>
    <col min="9216" max="9216" width="13.140625" style="360" customWidth="1"/>
    <col min="9217" max="9217" width="38" style="360" customWidth="1"/>
    <col min="9218" max="9218" width="8.42578125" style="360" customWidth="1"/>
    <col min="9219" max="9219" width="15.7109375" style="360" customWidth="1"/>
    <col min="9220" max="9220" width="18.28515625" style="360" customWidth="1"/>
    <col min="9221" max="9221" width="17.85546875" style="360" customWidth="1"/>
    <col min="9222" max="9222" width="0" style="360" hidden="1" customWidth="1"/>
    <col min="9223" max="9223" width="33.28515625" style="360" customWidth="1"/>
    <col min="9224" max="9471" width="10.7109375" style="360"/>
    <col min="9472" max="9472" width="13.140625" style="360" customWidth="1"/>
    <col min="9473" max="9473" width="38" style="360" customWidth="1"/>
    <col min="9474" max="9474" width="8.42578125" style="360" customWidth="1"/>
    <col min="9475" max="9475" width="15.7109375" style="360" customWidth="1"/>
    <col min="9476" max="9476" width="18.28515625" style="360" customWidth="1"/>
    <col min="9477" max="9477" width="17.85546875" style="360" customWidth="1"/>
    <col min="9478" max="9478" width="0" style="360" hidden="1" customWidth="1"/>
    <col min="9479" max="9479" width="33.28515625" style="360" customWidth="1"/>
    <col min="9480" max="9727" width="10.7109375" style="360"/>
    <col min="9728" max="9728" width="13.140625" style="360" customWidth="1"/>
    <col min="9729" max="9729" width="38" style="360" customWidth="1"/>
    <col min="9730" max="9730" width="8.42578125" style="360" customWidth="1"/>
    <col min="9731" max="9731" width="15.7109375" style="360" customWidth="1"/>
    <col min="9732" max="9732" width="18.28515625" style="360" customWidth="1"/>
    <col min="9733" max="9733" width="17.85546875" style="360" customWidth="1"/>
    <col min="9734" max="9734" width="0" style="360" hidden="1" customWidth="1"/>
    <col min="9735" max="9735" width="33.28515625" style="360" customWidth="1"/>
    <col min="9736" max="9983" width="10.7109375" style="360"/>
    <col min="9984" max="9984" width="13.140625" style="360" customWidth="1"/>
    <col min="9985" max="9985" width="38" style="360" customWidth="1"/>
    <col min="9986" max="9986" width="8.42578125" style="360" customWidth="1"/>
    <col min="9987" max="9987" width="15.7109375" style="360" customWidth="1"/>
    <col min="9988" max="9988" width="18.28515625" style="360" customWidth="1"/>
    <col min="9989" max="9989" width="17.85546875" style="360" customWidth="1"/>
    <col min="9990" max="9990" width="0" style="360" hidden="1" customWidth="1"/>
    <col min="9991" max="9991" width="33.28515625" style="360" customWidth="1"/>
    <col min="9992" max="10239" width="10.7109375" style="360"/>
    <col min="10240" max="10240" width="13.140625" style="360" customWidth="1"/>
    <col min="10241" max="10241" width="38" style="360" customWidth="1"/>
    <col min="10242" max="10242" width="8.42578125" style="360" customWidth="1"/>
    <col min="10243" max="10243" width="15.7109375" style="360" customWidth="1"/>
    <col min="10244" max="10244" width="18.28515625" style="360" customWidth="1"/>
    <col min="10245" max="10245" width="17.85546875" style="360" customWidth="1"/>
    <col min="10246" max="10246" width="0" style="360" hidden="1" customWidth="1"/>
    <col min="10247" max="10247" width="33.28515625" style="360" customWidth="1"/>
    <col min="10248" max="10495" width="10.7109375" style="360"/>
    <col min="10496" max="10496" width="13.140625" style="360" customWidth="1"/>
    <col min="10497" max="10497" width="38" style="360" customWidth="1"/>
    <col min="10498" max="10498" width="8.42578125" style="360" customWidth="1"/>
    <col min="10499" max="10499" width="15.7109375" style="360" customWidth="1"/>
    <col min="10500" max="10500" width="18.28515625" style="360" customWidth="1"/>
    <col min="10501" max="10501" width="17.85546875" style="360" customWidth="1"/>
    <col min="10502" max="10502" width="0" style="360" hidden="1" customWidth="1"/>
    <col min="10503" max="10503" width="33.28515625" style="360" customWidth="1"/>
    <col min="10504" max="10751" width="10.7109375" style="360"/>
    <col min="10752" max="10752" width="13.140625" style="360" customWidth="1"/>
    <col min="10753" max="10753" width="38" style="360" customWidth="1"/>
    <col min="10754" max="10754" width="8.42578125" style="360" customWidth="1"/>
    <col min="10755" max="10755" width="15.7109375" style="360" customWidth="1"/>
    <col min="10756" max="10756" width="18.28515625" style="360" customWidth="1"/>
    <col min="10757" max="10757" width="17.85546875" style="360" customWidth="1"/>
    <col min="10758" max="10758" width="0" style="360" hidden="1" customWidth="1"/>
    <col min="10759" max="10759" width="33.28515625" style="360" customWidth="1"/>
    <col min="10760" max="11007" width="10.7109375" style="360"/>
    <col min="11008" max="11008" width="13.140625" style="360" customWidth="1"/>
    <col min="11009" max="11009" width="38" style="360" customWidth="1"/>
    <col min="11010" max="11010" width="8.42578125" style="360" customWidth="1"/>
    <col min="11011" max="11011" width="15.7109375" style="360" customWidth="1"/>
    <col min="11012" max="11012" width="18.28515625" style="360" customWidth="1"/>
    <col min="11013" max="11013" width="17.85546875" style="360" customWidth="1"/>
    <col min="11014" max="11014" width="0" style="360" hidden="1" customWidth="1"/>
    <col min="11015" max="11015" width="33.28515625" style="360" customWidth="1"/>
    <col min="11016" max="11263" width="10.7109375" style="360"/>
    <col min="11264" max="11264" width="13.140625" style="360" customWidth="1"/>
    <col min="11265" max="11265" width="38" style="360" customWidth="1"/>
    <col min="11266" max="11266" width="8.42578125" style="360" customWidth="1"/>
    <col min="11267" max="11267" width="15.7109375" style="360" customWidth="1"/>
    <col min="11268" max="11268" width="18.28515625" style="360" customWidth="1"/>
    <col min="11269" max="11269" width="17.85546875" style="360" customWidth="1"/>
    <col min="11270" max="11270" width="0" style="360" hidden="1" customWidth="1"/>
    <col min="11271" max="11271" width="33.28515625" style="360" customWidth="1"/>
    <col min="11272" max="11519" width="10.7109375" style="360"/>
    <col min="11520" max="11520" width="13.140625" style="360" customWidth="1"/>
    <col min="11521" max="11521" width="38" style="360" customWidth="1"/>
    <col min="11522" max="11522" width="8.42578125" style="360" customWidth="1"/>
    <col min="11523" max="11523" width="15.7109375" style="360" customWidth="1"/>
    <col min="11524" max="11524" width="18.28515625" style="360" customWidth="1"/>
    <col min="11525" max="11525" width="17.85546875" style="360" customWidth="1"/>
    <col min="11526" max="11526" width="0" style="360" hidden="1" customWidth="1"/>
    <col min="11527" max="11527" width="33.28515625" style="360" customWidth="1"/>
    <col min="11528" max="11775" width="10.7109375" style="360"/>
    <col min="11776" max="11776" width="13.140625" style="360" customWidth="1"/>
    <col min="11777" max="11777" width="38" style="360" customWidth="1"/>
    <col min="11778" max="11778" width="8.42578125" style="360" customWidth="1"/>
    <col min="11779" max="11779" width="15.7109375" style="360" customWidth="1"/>
    <col min="11780" max="11780" width="18.28515625" style="360" customWidth="1"/>
    <col min="11781" max="11781" width="17.85546875" style="360" customWidth="1"/>
    <col min="11782" max="11782" width="0" style="360" hidden="1" customWidth="1"/>
    <col min="11783" max="11783" width="33.28515625" style="360" customWidth="1"/>
    <col min="11784" max="12031" width="10.7109375" style="360"/>
    <col min="12032" max="12032" width="13.140625" style="360" customWidth="1"/>
    <col min="12033" max="12033" width="38" style="360" customWidth="1"/>
    <col min="12034" max="12034" width="8.42578125" style="360" customWidth="1"/>
    <col min="12035" max="12035" width="15.7109375" style="360" customWidth="1"/>
    <col min="12036" max="12036" width="18.28515625" style="360" customWidth="1"/>
    <col min="12037" max="12037" width="17.85546875" style="360" customWidth="1"/>
    <col min="12038" max="12038" width="0" style="360" hidden="1" customWidth="1"/>
    <col min="12039" max="12039" width="33.28515625" style="360" customWidth="1"/>
    <col min="12040" max="12287" width="10.7109375" style="360"/>
    <col min="12288" max="12288" width="13.140625" style="360" customWidth="1"/>
    <col min="12289" max="12289" width="38" style="360" customWidth="1"/>
    <col min="12290" max="12290" width="8.42578125" style="360" customWidth="1"/>
    <col min="12291" max="12291" width="15.7109375" style="360" customWidth="1"/>
    <col min="12292" max="12292" width="18.28515625" style="360" customWidth="1"/>
    <col min="12293" max="12293" width="17.85546875" style="360" customWidth="1"/>
    <col min="12294" max="12294" width="0" style="360" hidden="1" customWidth="1"/>
    <col min="12295" max="12295" width="33.28515625" style="360" customWidth="1"/>
    <col min="12296" max="12543" width="10.7109375" style="360"/>
    <col min="12544" max="12544" width="13.140625" style="360" customWidth="1"/>
    <col min="12545" max="12545" width="38" style="360" customWidth="1"/>
    <col min="12546" max="12546" width="8.42578125" style="360" customWidth="1"/>
    <col min="12547" max="12547" width="15.7109375" style="360" customWidth="1"/>
    <col min="12548" max="12548" width="18.28515625" style="360" customWidth="1"/>
    <col min="12549" max="12549" width="17.85546875" style="360" customWidth="1"/>
    <col min="12550" max="12550" width="0" style="360" hidden="1" customWidth="1"/>
    <col min="12551" max="12551" width="33.28515625" style="360" customWidth="1"/>
    <col min="12552" max="12799" width="10.7109375" style="360"/>
    <col min="12800" max="12800" width="13.140625" style="360" customWidth="1"/>
    <col min="12801" max="12801" width="38" style="360" customWidth="1"/>
    <col min="12802" max="12802" width="8.42578125" style="360" customWidth="1"/>
    <col min="12803" max="12803" width="15.7109375" style="360" customWidth="1"/>
    <col min="12804" max="12804" width="18.28515625" style="360" customWidth="1"/>
    <col min="12805" max="12805" width="17.85546875" style="360" customWidth="1"/>
    <col min="12806" max="12806" width="0" style="360" hidden="1" customWidth="1"/>
    <col min="12807" max="12807" width="33.28515625" style="360" customWidth="1"/>
    <col min="12808" max="13055" width="10.7109375" style="360"/>
    <col min="13056" max="13056" width="13.140625" style="360" customWidth="1"/>
    <col min="13057" max="13057" width="38" style="360" customWidth="1"/>
    <col min="13058" max="13058" width="8.42578125" style="360" customWidth="1"/>
    <col min="13059" max="13059" width="15.7109375" style="360" customWidth="1"/>
    <col min="13060" max="13060" width="18.28515625" style="360" customWidth="1"/>
    <col min="13061" max="13061" width="17.85546875" style="360" customWidth="1"/>
    <col min="13062" max="13062" width="0" style="360" hidden="1" customWidth="1"/>
    <col min="13063" max="13063" width="33.28515625" style="360" customWidth="1"/>
    <col min="13064" max="13311" width="10.7109375" style="360"/>
    <col min="13312" max="13312" width="13.140625" style="360" customWidth="1"/>
    <col min="13313" max="13313" width="38" style="360" customWidth="1"/>
    <col min="13314" max="13314" width="8.42578125" style="360" customWidth="1"/>
    <col min="13315" max="13315" width="15.7109375" style="360" customWidth="1"/>
    <col min="13316" max="13316" width="18.28515625" style="360" customWidth="1"/>
    <col min="13317" max="13317" width="17.85546875" style="360" customWidth="1"/>
    <col min="13318" max="13318" width="0" style="360" hidden="1" customWidth="1"/>
    <col min="13319" max="13319" width="33.28515625" style="360" customWidth="1"/>
    <col min="13320" max="13567" width="10.7109375" style="360"/>
    <col min="13568" max="13568" width="13.140625" style="360" customWidth="1"/>
    <col min="13569" max="13569" width="38" style="360" customWidth="1"/>
    <col min="13570" max="13570" width="8.42578125" style="360" customWidth="1"/>
    <col min="13571" max="13571" width="15.7109375" style="360" customWidth="1"/>
    <col min="13572" max="13572" width="18.28515625" style="360" customWidth="1"/>
    <col min="13573" max="13573" width="17.85546875" style="360" customWidth="1"/>
    <col min="13574" max="13574" width="0" style="360" hidden="1" customWidth="1"/>
    <col min="13575" max="13575" width="33.28515625" style="360" customWidth="1"/>
    <col min="13576" max="13823" width="10.7109375" style="360"/>
    <col min="13824" max="13824" width="13.140625" style="360" customWidth="1"/>
    <col min="13825" max="13825" width="38" style="360" customWidth="1"/>
    <col min="13826" max="13826" width="8.42578125" style="360" customWidth="1"/>
    <col min="13827" max="13827" width="15.7109375" style="360" customWidth="1"/>
    <col min="13828" max="13828" width="18.28515625" style="360" customWidth="1"/>
    <col min="13829" max="13829" width="17.85546875" style="360" customWidth="1"/>
    <col min="13830" max="13830" width="0" style="360" hidden="1" customWidth="1"/>
    <col min="13831" max="13831" width="33.28515625" style="360" customWidth="1"/>
    <col min="13832" max="14079" width="10.7109375" style="360"/>
    <col min="14080" max="14080" width="13.140625" style="360" customWidth="1"/>
    <col min="14081" max="14081" width="38" style="360" customWidth="1"/>
    <col min="14082" max="14082" width="8.42578125" style="360" customWidth="1"/>
    <col min="14083" max="14083" width="15.7109375" style="360" customWidth="1"/>
    <col min="14084" max="14084" width="18.28515625" style="360" customWidth="1"/>
    <col min="14085" max="14085" width="17.85546875" style="360" customWidth="1"/>
    <col min="14086" max="14086" width="0" style="360" hidden="1" customWidth="1"/>
    <col min="14087" max="14087" width="33.28515625" style="360" customWidth="1"/>
    <col min="14088" max="14335" width="10.7109375" style="360"/>
    <col min="14336" max="14336" width="13.140625" style="360" customWidth="1"/>
    <col min="14337" max="14337" width="38" style="360" customWidth="1"/>
    <col min="14338" max="14338" width="8.42578125" style="360" customWidth="1"/>
    <col min="14339" max="14339" width="15.7109375" style="360" customWidth="1"/>
    <col min="14340" max="14340" width="18.28515625" style="360" customWidth="1"/>
    <col min="14341" max="14341" width="17.85546875" style="360" customWidth="1"/>
    <col min="14342" max="14342" width="0" style="360" hidden="1" customWidth="1"/>
    <col min="14343" max="14343" width="33.28515625" style="360" customWidth="1"/>
    <col min="14344" max="14591" width="10.7109375" style="360"/>
    <col min="14592" max="14592" width="13.140625" style="360" customWidth="1"/>
    <col min="14593" max="14593" width="38" style="360" customWidth="1"/>
    <col min="14594" max="14594" width="8.42578125" style="360" customWidth="1"/>
    <col min="14595" max="14595" width="15.7109375" style="360" customWidth="1"/>
    <col min="14596" max="14596" width="18.28515625" style="360" customWidth="1"/>
    <col min="14597" max="14597" width="17.85546875" style="360" customWidth="1"/>
    <col min="14598" max="14598" width="0" style="360" hidden="1" customWidth="1"/>
    <col min="14599" max="14599" width="33.28515625" style="360" customWidth="1"/>
    <col min="14600" max="14847" width="10.7109375" style="360"/>
    <col min="14848" max="14848" width="13.140625" style="360" customWidth="1"/>
    <col min="14849" max="14849" width="38" style="360" customWidth="1"/>
    <col min="14850" max="14850" width="8.42578125" style="360" customWidth="1"/>
    <col min="14851" max="14851" width="15.7109375" style="360" customWidth="1"/>
    <col min="14852" max="14852" width="18.28515625" style="360" customWidth="1"/>
    <col min="14853" max="14853" width="17.85546875" style="360" customWidth="1"/>
    <col min="14854" max="14854" width="0" style="360" hidden="1" customWidth="1"/>
    <col min="14855" max="14855" width="33.28515625" style="360" customWidth="1"/>
    <col min="14856" max="15103" width="10.7109375" style="360"/>
    <col min="15104" max="15104" width="13.140625" style="360" customWidth="1"/>
    <col min="15105" max="15105" width="38" style="360" customWidth="1"/>
    <col min="15106" max="15106" width="8.42578125" style="360" customWidth="1"/>
    <col min="15107" max="15107" width="15.7109375" style="360" customWidth="1"/>
    <col min="15108" max="15108" width="18.28515625" style="360" customWidth="1"/>
    <col min="15109" max="15109" width="17.85546875" style="360" customWidth="1"/>
    <col min="15110" max="15110" width="0" style="360" hidden="1" customWidth="1"/>
    <col min="15111" max="15111" width="33.28515625" style="360" customWidth="1"/>
    <col min="15112" max="15359" width="10.7109375" style="360"/>
    <col min="15360" max="15360" width="13.140625" style="360" customWidth="1"/>
    <col min="15361" max="15361" width="38" style="360" customWidth="1"/>
    <col min="15362" max="15362" width="8.42578125" style="360" customWidth="1"/>
    <col min="15363" max="15363" width="15.7109375" style="360" customWidth="1"/>
    <col min="15364" max="15364" width="18.28515625" style="360" customWidth="1"/>
    <col min="15365" max="15365" width="17.85546875" style="360" customWidth="1"/>
    <col min="15366" max="15366" width="0" style="360" hidden="1" customWidth="1"/>
    <col min="15367" max="15367" width="33.28515625" style="360" customWidth="1"/>
    <col min="15368" max="15615" width="10.7109375" style="360"/>
    <col min="15616" max="15616" width="13.140625" style="360" customWidth="1"/>
    <col min="15617" max="15617" width="38" style="360" customWidth="1"/>
    <col min="15618" max="15618" width="8.42578125" style="360" customWidth="1"/>
    <col min="15619" max="15619" width="15.7109375" style="360" customWidth="1"/>
    <col min="15620" max="15620" width="18.28515625" style="360" customWidth="1"/>
    <col min="15621" max="15621" width="17.85546875" style="360" customWidth="1"/>
    <col min="15622" max="15622" width="0" style="360" hidden="1" customWidth="1"/>
    <col min="15623" max="15623" width="33.28515625" style="360" customWidth="1"/>
    <col min="15624" max="15871" width="10.7109375" style="360"/>
    <col min="15872" max="15872" width="13.140625" style="360" customWidth="1"/>
    <col min="15873" max="15873" width="38" style="360" customWidth="1"/>
    <col min="15874" max="15874" width="8.42578125" style="360" customWidth="1"/>
    <col min="15875" max="15875" width="15.7109375" style="360" customWidth="1"/>
    <col min="15876" max="15876" width="18.28515625" style="360" customWidth="1"/>
    <col min="15877" max="15877" width="17.85546875" style="360" customWidth="1"/>
    <col min="15878" max="15878" width="0" style="360" hidden="1" customWidth="1"/>
    <col min="15879" max="15879" width="33.28515625" style="360" customWidth="1"/>
    <col min="15880" max="16127" width="10.7109375" style="360"/>
    <col min="16128" max="16128" width="13.140625" style="360" customWidth="1"/>
    <col min="16129" max="16129" width="38" style="360" customWidth="1"/>
    <col min="16130" max="16130" width="8.42578125" style="360" customWidth="1"/>
    <col min="16131" max="16131" width="15.7109375" style="360" customWidth="1"/>
    <col min="16132" max="16132" width="18.28515625" style="360" customWidth="1"/>
    <col min="16133" max="16133" width="17.85546875" style="360" customWidth="1"/>
    <col min="16134" max="16134" width="0" style="360" hidden="1" customWidth="1"/>
    <col min="16135" max="16135" width="33.28515625" style="360" customWidth="1"/>
    <col min="16136" max="16384" width="10.7109375" style="360"/>
  </cols>
  <sheetData>
    <row r="1" spans="1:9" ht="15" customHeight="1" x14ac:dyDescent="0.25">
      <c r="A1" s="547" t="s">
        <v>1760</v>
      </c>
      <c r="B1" s="356"/>
      <c r="C1" s="357"/>
      <c r="D1" s="358"/>
      <c r="E1" s="358"/>
      <c r="F1" s="359"/>
      <c r="G1" s="359"/>
    </row>
    <row r="2" spans="1:9" ht="15" customHeight="1" x14ac:dyDescent="0.3">
      <c r="A2" s="361"/>
      <c r="B2" s="356"/>
      <c r="C2" s="357"/>
      <c r="D2" s="358"/>
      <c r="E2" s="358"/>
      <c r="F2" s="359"/>
      <c r="G2" s="359"/>
    </row>
    <row r="3" spans="1:9" ht="15" customHeight="1" x14ac:dyDescent="0.3">
      <c r="A3" s="359"/>
      <c r="B3" s="362"/>
      <c r="C3" s="357"/>
      <c r="D3" s="358"/>
      <c r="E3" s="358"/>
      <c r="F3" s="359"/>
      <c r="G3" s="359"/>
    </row>
    <row r="4" spans="1:9" ht="15" customHeight="1" x14ac:dyDescent="0.3">
      <c r="A4" s="1445" t="s">
        <v>1178</v>
      </c>
      <c r="B4" s="1445"/>
      <c r="C4" s="1445"/>
      <c r="D4" s="1445"/>
      <c r="E4" s="1445"/>
      <c r="F4" s="1445"/>
      <c r="G4" s="1445"/>
    </row>
    <row r="5" spans="1:9" ht="15" customHeight="1" x14ac:dyDescent="0.3">
      <c r="A5" s="1445" t="s">
        <v>1194</v>
      </c>
      <c r="B5" s="1445"/>
      <c r="C5" s="1445"/>
      <c r="D5" s="1445"/>
      <c r="E5" s="1445"/>
      <c r="F5" s="1445"/>
      <c r="G5" s="1445"/>
    </row>
    <row r="6" spans="1:9" ht="15" customHeight="1" x14ac:dyDescent="0.3">
      <c r="A6" s="1445" t="e">
        <f>DG!#REF!</f>
        <v>#REF!</v>
      </c>
      <c r="B6" s="1445"/>
      <c r="C6" s="1445"/>
      <c r="D6" s="1445"/>
      <c r="E6" s="1445"/>
      <c r="F6" s="1445"/>
      <c r="G6" s="1445"/>
    </row>
    <row r="7" spans="1:9" ht="15" customHeight="1" x14ac:dyDescent="0.3">
      <c r="A7" s="359"/>
      <c r="B7" s="362"/>
      <c r="C7" s="357"/>
      <c r="D7" s="358"/>
      <c r="E7" s="358"/>
      <c r="F7" s="359"/>
      <c r="G7" s="359"/>
    </row>
    <row r="8" spans="1:9" ht="25.5" x14ac:dyDescent="0.25">
      <c r="A8" s="1446" t="s">
        <v>1179</v>
      </c>
      <c r="B8" s="1446" t="s">
        <v>1180</v>
      </c>
      <c r="C8" s="1446" t="s">
        <v>1181</v>
      </c>
      <c r="D8" s="1448" t="s">
        <v>1182</v>
      </c>
      <c r="E8" s="819" t="s">
        <v>1183</v>
      </c>
      <c r="F8" s="1446" t="s">
        <v>1184</v>
      </c>
      <c r="G8" s="1446" t="s">
        <v>1185</v>
      </c>
      <c r="I8" s="363"/>
    </row>
    <row r="9" spans="1:9" ht="15" customHeight="1" x14ac:dyDescent="0.25">
      <c r="A9" s="1450"/>
      <c r="B9" s="1450"/>
      <c r="C9" s="1450"/>
      <c r="D9" s="1451"/>
      <c r="E9" s="820" t="s">
        <v>1186</v>
      </c>
      <c r="F9" s="1450"/>
      <c r="G9" s="1450"/>
      <c r="I9" s="363"/>
    </row>
    <row r="10" spans="1:9" ht="15" customHeight="1" x14ac:dyDescent="0.3">
      <c r="A10" s="578">
        <v>1</v>
      </c>
      <c r="B10" s="578">
        <v>2</v>
      </c>
      <c r="C10" s="578">
        <v>3</v>
      </c>
      <c r="D10" s="579">
        <v>4</v>
      </c>
      <c r="E10" s="579">
        <v>5</v>
      </c>
      <c r="F10" s="578">
        <v>7</v>
      </c>
      <c r="G10" s="578">
        <v>6</v>
      </c>
    </row>
    <row r="11" spans="1:9" ht="75.75" customHeight="1" x14ac:dyDescent="0.3">
      <c r="A11" s="366">
        <v>1</v>
      </c>
      <c r="B11" s="558" t="s">
        <v>1761</v>
      </c>
      <c r="C11" s="531">
        <v>1</v>
      </c>
      <c r="D11" s="369">
        <v>57141</v>
      </c>
      <c r="E11" s="401">
        <f t="shared" ref="E11" si="0">C11*D11</f>
        <v>57141</v>
      </c>
      <c r="F11" s="367"/>
      <c r="G11" s="609" t="s">
        <v>1762</v>
      </c>
      <c r="H11" s="426"/>
    </row>
    <row r="12" spans="1:9" ht="14.45" x14ac:dyDescent="0.3">
      <c r="A12" s="1444" t="s">
        <v>545</v>
      </c>
      <c r="B12" s="1444"/>
      <c r="C12" s="1444"/>
      <c r="D12" s="1444"/>
      <c r="E12" s="370">
        <f>SUM(E11:E11)</f>
        <v>57141</v>
      </c>
      <c r="F12" s="1444" t="s">
        <v>1188</v>
      </c>
      <c r="G12" s="1444"/>
      <c r="H12" s="426"/>
    </row>
    <row r="13" spans="1:9" ht="15" customHeight="1" x14ac:dyDescent="0.3">
      <c r="A13" s="359"/>
      <c r="B13" s="371"/>
      <c r="C13" s="372"/>
      <c r="D13" s="358"/>
      <c r="E13" s="358"/>
      <c r="F13" s="359"/>
      <c r="G13" s="359"/>
    </row>
    <row r="14" spans="1:9" ht="15" customHeight="1" x14ac:dyDescent="0.25">
      <c r="A14" s="359"/>
      <c r="B14" s="362"/>
      <c r="C14" s="357"/>
      <c r="D14" s="358"/>
      <c r="E14" s="358"/>
      <c r="F14" s="359"/>
      <c r="G14" s="44" t="s">
        <v>82</v>
      </c>
    </row>
    <row r="15" spans="1:9" ht="15" customHeight="1" x14ac:dyDescent="0.25">
      <c r="A15" s="359"/>
      <c r="B15" s="371"/>
      <c r="C15" s="357"/>
      <c r="D15" s="358"/>
      <c r="E15" s="358"/>
      <c r="F15" s="359"/>
      <c r="G15" s="45" t="s">
        <v>1448</v>
      </c>
    </row>
    <row r="16" spans="1:9" ht="15" customHeight="1" x14ac:dyDescent="0.25">
      <c r="A16" s="359"/>
      <c r="B16" s="362"/>
      <c r="C16" s="357"/>
      <c r="D16" s="358"/>
      <c r="E16" s="358"/>
      <c r="F16" s="359"/>
      <c r="G16" s="44" t="e">
        <f>#REF!</f>
        <v>#REF!</v>
      </c>
    </row>
    <row r="17" spans="1:7" ht="15" customHeight="1" x14ac:dyDescent="0.25">
      <c r="A17" s="359"/>
      <c r="B17" s="371"/>
      <c r="C17" s="357"/>
      <c r="D17" s="358"/>
      <c r="E17" s="358"/>
      <c r="F17" s="359"/>
      <c r="G17" s="45" t="s">
        <v>83</v>
      </c>
    </row>
    <row r="18" spans="1:7" ht="15" customHeight="1" x14ac:dyDescent="0.25">
      <c r="A18" s="359"/>
      <c r="B18" s="362"/>
      <c r="C18" s="357"/>
      <c r="D18" s="358"/>
      <c r="E18" s="358"/>
      <c r="F18" s="359"/>
      <c r="G18" s="45" t="e">
        <f>#REF!</f>
        <v>#REF!</v>
      </c>
    </row>
    <row r="19" spans="1:7" ht="15" customHeight="1" x14ac:dyDescent="0.3">
      <c r="A19" s="359"/>
      <c r="B19" s="371"/>
      <c r="C19" s="357"/>
      <c r="D19" s="358"/>
      <c r="E19" s="358"/>
      <c r="F19" s="359"/>
      <c r="G19" s="359"/>
    </row>
    <row r="20" spans="1:7" ht="15" customHeight="1" x14ac:dyDescent="0.3"/>
    <row r="21" spans="1:7" ht="15" customHeight="1" x14ac:dyDescent="0.3">
      <c r="A21" s="373"/>
      <c r="C21" s="373"/>
      <c r="D21" s="523"/>
      <c r="E21" s="523"/>
      <c r="F21" s="373"/>
      <c r="G21" s="373"/>
    </row>
    <row r="22" spans="1:7" ht="15" customHeight="1" x14ac:dyDescent="0.3">
      <c r="A22" s="373"/>
      <c r="C22" s="373"/>
      <c r="D22" s="523"/>
      <c r="E22" s="523"/>
      <c r="F22" s="373"/>
      <c r="G22" s="373"/>
    </row>
    <row r="23" spans="1:7" ht="15" customHeight="1" x14ac:dyDescent="0.3">
      <c r="A23" s="524"/>
      <c r="C23" s="373"/>
      <c r="D23" s="523"/>
      <c r="E23" s="523"/>
      <c r="F23" s="373"/>
      <c r="G23" s="373"/>
    </row>
    <row r="24" spans="1:7" ht="15" customHeight="1" x14ac:dyDescent="0.3">
      <c r="A24" s="525"/>
      <c r="C24" s="373"/>
      <c r="D24" s="523"/>
      <c r="E24" s="523"/>
      <c r="F24" s="373"/>
      <c r="G24" s="389"/>
    </row>
    <row r="25" spans="1:7" ht="15" customHeight="1" x14ac:dyDescent="0.3">
      <c r="A25" s="527"/>
      <c r="C25" s="373"/>
      <c r="D25" s="523"/>
      <c r="E25" s="523"/>
      <c r="F25" s="373"/>
      <c r="G25" s="373"/>
    </row>
    <row r="26" spans="1:7" ht="15" customHeight="1" x14ac:dyDescent="0.3">
      <c r="A26" s="525"/>
      <c r="C26" s="373"/>
      <c r="D26" s="523"/>
      <c r="E26" s="523"/>
      <c r="F26" s="373"/>
      <c r="G26" s="373"/>
    </row>
    <row r="27" spans="1:7" ht="15" customHeight="1" x14ac:dyDescent="0.3">
      <c r="A27" s="525"/>
      <c r="C27" s="373"/>
      <c r="D27" s="523"/>
      <c r="E27" s="523"/>
      <c r="F27" s="373"/>
      <c r="G27" s="389"/>
    </row>
    <row r="28" spans="1:7" ht="15" customHeight="1" x14ac:dyDescent="0.3">
      <c r="A28" s="525"/>
      <c r="C28" s="373"/>
      <c r="D28" s="523"/>
      <c r="E28" s="523"/>
      <c r="F28" s="373"/>
      <c r="G28" s="373"/>
    </row>
    <row r="29" spans="1:7" ht="15" customHeight="1" x14ac:dyDescent="0.25">
      <c r="A29" s="525"/>
      <c r="C29" s="373"/>
      <c r="D29" s="523"/>
      <c r="E29" s="523"/>
      <c r="F29" s="373"/>
      <c r="G29" s="373"/>
    </row>
    <row r="30" spans="1:7" ht="15" customHeight="1" x14ac:dyDescent="0.25">
      <c r="A30" s="525"/>
      <c r="C30" s="373"/>
      <c r="D30" s="523"/>
      <c r="E30" s="523"/>
      <c r="F30" s="373"/>
      <c r="G30" s="389"/>
    </row>
    <row r="31" spans="1:7" ht="15" customHeight="1" x14ac:dyDescent="0.25">
      <c r="A31" s="525"/>
      <c r="C31" s="373"/>
      <c r="D31" s="523"/>
      <c r="E31" s="523"/>
      <c r="F31" s="373"/>
      <c r="G31" s="373"/>
    </row>
    <row r="32" spans="1:7" ht="15" customHeight="1" x14ac:dyDescent="0.25">
      <c r="A32" s="525"/>
      <c r="C32" s="373"/>
      <c r="D32" s="523"/>
      <c r="E32" s="523"/>
      <c r="F32" s="373"/>
      <c r="G32" s="389"/>
    </row>
    <row r="33" spans="1:15" ht="15" customHeight="1" x14ac:dyDescent="0.25">
      <c r="A33" s="525"/>
      <c r="C33" s="373"/>
      <c r="D33" s="523"/>
      <c r="E33" s="523"/>
      <c r="F33" s="373"/>
      <c r="G33" s="373"/>
    </row>
    <row r="34" spans="1:15" ht="15" customHeight="1" x14ac:dyDescent="0.25">
      <c r="A34" s="525"/>
      <c r="C34" s="373"/>
      <c r="D34" s="523"/>
      <c r="E34" s="523"/>
      <c r="F34" s="373"/>
      <c r="G34" s="389"/>
    </row>
    <row r="35" spans="1:15" ht="15" customHeight="1" x14ac:dyDescent="0.25">
      <c r="A35" s="525"/>
      <c r="C35" s="373"/>
      <c r="D35" s="523"/>
      <c r="E35" s="523"/>
      <c r="F35" s="373"/>
      <c r="G35" s="373"/>
    </row>
    <row r="36" spans="1:15" ht="15" customHeight="1" x14ac:dyDescent="0.25">
      <c r="A36" s="525"/>
      <c r="C36" s="373"/>
      <c r="D36" s="523"/>
      <c r="E36" s="523"/>
      <c r="F36" s="373"/>
      <c r="G36" s="373"/>
    </row>
    <row r="37" spans="1:15" ht="15" customHeight="1" x14ac:dyDescent="0.25">
      <c r="A37" s="525"/>
      <c r="C37" s="373"/>
      <c r="D37" s="523"/>
      <c r="E37" s="523"/>
      <c r="F37" s="373"/>
      <c r="G37" s="389"/>
    </row>
    <row r="38" spans="1:15" ht="15" customHeight="1" x14ac:dyDescent="0.25">
      <c r="A38" s="525"/>
      <c r="C38" s="373"/>
      <c r="D38" s="523"/>
      <c r="E38" s="523"/>
      <c r="F38" s="373"/>
      <c r="G38" s="373"/>
    </row>
    <row r="39" spans="1:15" ht="15" customHeight="1" x14ac:dyDescent="0.25">
      <c r="A39" s="525"/>
      <c r="C39" s="373"/>
      <c r="D39" s="523"/>
      <c r="E39" s="523"/>
      <c r="F39" s="373"/>
      <c r="G39" s="389"/>
      <c r="H39" s="374"/>
      <c r="I39" s="374"/>
      <c r="J39" s="374"/>
      <c r="K39" s="374"/>
      <c r="L39" s="374"/>
      <c r="M39" s="374"/>
      <c r="N39" s="374"/>
      <c r="O39" s="374"/>
    </row>
    <row r="40" spans="1:15" ht="15" customHeight="1" x14ac:dyDescent="0.25">
      <c r="A40" s="525"/>
      <c r="C40" s="373"/>
      <c r="D40" s="523"/>
      <c r="E40" s="523"/>
      <c r="F40" s="373"/>
      <c r="G40" s="373"/>
      <c r="H40" s="374"/>
      <c r="I40" s="374"/>
      <c r="J40" s="374"/>
      <c r="K40" s="374"/>
      <c r="L40" s="374"/>
      <c r="M40" s="374"/>
      <c r="N40" s="374"/>
      <c r="O40" s="374"/>
    </row>
    <row r="41" spans="1:15" ht="15" customHeight="1" x14ac:dyDescent="0.25">
      <c r="A41" s="525"/>
      <c r="C41" s="373"/>
      <c r="D41" s="523"/>
      <c r="E41" s="523"/>
      <c r="F41" s="373"/>
      <c r="G41" s="373"/>
      <c r="H41" s="374"/>
      <c r="I41" s="374"/>
      <c r="J41" s="374"/>
      <c r="K41" s="374"/>
      <c r="L41" s="374"/>
      <c r="M41" s="374"/>
      <c r="N41" s="374"/>
      <c r="O41" s="374"/>
    </row>
    <row r="42" spans="1:15" ht="15" customHeight="1" x14ac:dyDescent="0.25">
      <c r="A42" s="525"/>
      <c r="C42" s="373"/>
      <c r="D42" s="523"/>
      <c r="E42" s="523"/>
      <c r="F42" s="373"/>
      <c r="G42" s="389"/>
      <c r="H42" s="374"/>
      <c r="I42" s="374"/>
      <c r="J42" s="374"/>
      <c r="K42" s="374"/>
      <c r="L42" s="374"/>
      <c r="M42" s="374"/>
      <c r="N42" s="374"/>
      <c r="O42" s="374"/>
    </row>
    <row r="43" spans="1:15" ht="15" customHeight="1" x14ac:dyDescent="0.25">
      <c r="A43" s="525"/>
      <c r="B43" s="526"/>
      <c r="C43" s="373"/>
      <c r="D43" s="523"/>
      <c r="E43" s="523"/>
      <c r="F43" s="373"/>
      <c r="G43" s="389"/>
      <c r="H43" s="374"/>
      <c r="I43" s="374"/>
      <c r="J43" s="374"/>
      <c r="K43" s="374"/>
      <c r="L43" s="374"/>
      <c r="M43" s="374"/>
      <c r="N43" s="374"/>
      <c r="O43" s="374"/>
    </row>
    <row r="44" spans="1:15" ht="15" customHeight="1" x14ac:dyDescent="0.25">
      <c r="A44" s="525"/>
      <c r="C44" s="373"/>
      <c r="D44" s="523"/>
      <c r="E44" s="523"/>
      <c r="F44" s="373"/>
      <c r="G44" s="389"/>
      <c r="H44" s="374"/>
      <c r="I44" s="374"/>
      <c r="J44" s="374"/>
      <c r="K44" s="374"/>
      <c r="L44" s="374"/>
      <c r="M44" s="374"/>
      <c r="N44" s="374"/>
      <c r="O44" s="374"/>
    </row>
    <row r="45" spans="1:15" ht="15" customHeight="1" x14ac:dyDescent="0.25">
      <c r="A45" s="525"/>
      <c r="C45" s="373"/>
      <c r="D45" s="523"/>
      <c r="E45" s="523"/>
      <c r="F45" s="373"/>
      <c r="G45" s="389"/>
      <c r="H45" s="374"/>
      <c r="I45" s="374"/>
      <c r="J45" s="374"/>
      <c r="K45" s="374"/>
      <c r="L45" s="374"/>
      <c r="M45" s="374"/>
      <c r="N45" s="374"/>
      <c r="O45" s="374"/>
    </row>
    <row r="46" spans="1:15" ht="15" customHeight="1" x14ac:dyDescent="0.25">
      <c r="A46" s="525"/>
      <c r="C46" s="373"/>
      <c r="D46" s="523"/>
      <c r="E46" s="523"/>
      <c r="F46" s="373"/>
      <c r="G46" s="389"/>
      <c r="H46" s="374"/>
      <c r="I46" s="374"/>
      <c r="J46" s="374"/>
      <c r="K46" s="374"/>
      <c r="L46" s="374"/>
      <c r="M46" s="374"/>
      <c r="N46" s="374"/>
      <c r="O46" s="374"/>
    </row>
    <row r="47" spans="1:15" ht="15" customHeight="1" x14ac:dyDescent="0.25">
      <c r="A47" s="525"/>
      <c r="C47" s="373"/>
      <c r="D47" s="523"/>
      <c r="E47" s="523"/>
      <c r="F47" s="373"/>
      <c r="G47" s="389"/>
      <c r="H47" s="374"/>
      <c r="I47" s="374"/>
      <c r="J47" s="374"/>
      <c r="K47" s="374"/>
      <c r="L47" s="374"/>
      <c r="M47" s="374"/>
      <c r="N47" s="374"/>
      <c r="O47" s="374"/>
    </row>
    <row r="48" spans="1:15" ht="15" customHeight="1" x14ac:dyDescent="0.25">
      <c r="A48" s="525"/>
      <c r="C48" s="373"/>
      <c r="D48" s="523"/>
      <c r="E48" s="523"/>
      <c r="F48" s="373"/>
      <c r="G48" s="389"/>
      <c r="H48" s="374"/>
      <c r="I48" s="374"/>
      <c r="J48" s="374"/>
      <c r="K48" s="374"/>
      <c r="L48" s="374"/>
      <c r="M48" s="374"/>
      <c r="N48" s="374"/>
      <c r="O48" s="374"/>
    </row>
    <row r="49" spans="1:15" ht="15" customHeight="1" x14ac:dyDescent="0.25">
      <c r="A49" s="525"/>
      <c r="C49" s="373"/>
      <c r="D49" s="523"/>
      <c r="E49" s="523"/>
      <c r="F49" s="373"/>
      <c r="G49" s="389"/>
      <c r="H49" s="374"/>
      <c r="I49" s="374"/>
      <c r="J49" s="374"/>
      <c r="K49" s="374"/>
      <c r="L49" s="374"/>
      <c r="M49" s="374"/>
      <c r="N49" s="374"/>
      <c r="O49" s="374"/>
    </row>
    <row r="50" spans="1:15" ht="15" customHeight="1" x14ac:dyDescent="0.25">
      <c r="A50" s="376"/>
      <c r="B50" s="360"/>
      <c r="D50" s="380"/>
      <c r="E50" s="380"/>
      <c r="F50" s="374"/>
      <c r="G50" s="374"/>
      <c r="H50" s="374"/>
      <c r="I50" s="374"/>
      <c r="J50" s="374"/>
      <c r="K50" s="374"/>
      <c r="L50" s="374"/>
      <c r="M50" s="374"/>
      <c r="N50" s="374"/>
      <c r="O50" s="374"/>
    </row>
    <row r="51" spans="1:15" ht="15" customHeight="1" x14ac:dyDescent="0.25">
      <c r="A51" s="376"/>
      <c r="B51" s="360"/>
      <c r="D51" s="380"/>
      <c r="E51" s="380"/>
      <c r="F51" s="374"/>
      <c r="G51" s="374"/>
      <c r="H51" s="374"/>
      <c r="I51" s="374"/>
      <c r="J51" s="374"/>
      <c r="K51" s="374"/>
      <c r="L51" s="374"/>
      <c r="M51" s="374"/>
      <c r="N51" s="374"/>
      <c r="O51" s="374"/>
    </row>
    <row r="52" spans="1:15" ht="15" customHeight="1" x14ac:dyDescent="0.25">
      <c r="B52" s="360"/>
      <c r="D52" s="380"/>
      <c r="E52" s="380"/>
      <c r="F52" s="374"/>
      <c r="G52" s="374"/>
      <c r="H52" s="374"/>
      <c r="I52" s="374"/>
      <c r="J52" s="374"/>
      <c r="K52" s="374"/>
      <c r="L52" s="374"/>
      <c r="M52" s="374"/>
      <c r="N52" s="374"/>
      <c r="O52" s="374"/>
    </row>
    <row r="53" spans="1:15" ht="15" customHeight="1" x14ac:dyDescent="0.25">
      <c r="B53" s="360"/>
      <c r="D53" s="380"/>
      <c r="E53" s="380"/>
      <c r="F53" s="374"/>
      <c r="G53" s="374"/>
      <c r="H53" s="374"/>
      <c r="I53" s="374"/>
      <c r="J53" s="374"/>
      <c r="K53" s="374"/>
      <c r="L53" s="374"/>
      <c r="M53" s="374"/>
      <c r="N53" s="374"/>
      <c r="O53" s="374"/>
    </row>
    <row r="54" spans="1:15" ht="15" customHeight="1" x14ac:dyDescent="0.25">
      <c r="A54" s="376"/>
      <c r="B54" s="360"/>
      <c r="D54" s="380"/>
      <c r="E54" s="380"/>
      <c r="F54" s="374"/>
      <c r="G54" s="374"/>
      <c r="H54" s="374"/>
      <c r="I54" s="374"/>
      <c r="J54" s="374"/>
      <c r="K54" s="374"/>
      <c r="L54" s="374"/>
      <c r="M54" s="374"/>
      <c r="N54" s="374"/>
      <c r="O54" s="374"/>
    </row>
    <row r="55" spans="1:15" ht="15" customHeight="1" x14ac:dyDescent="0.25">
      <c r="A55" s="376"/>
      <c r="B55" s="360"/>
      <c r="D55" s="380"/>
      <c r="E55" s="380"/>
      <c r="F55" s="374"/>
      <c r="G55" s="374"/>
      <c r="H55" s="374"/>
      <c r="I55" s="374"/>
      <c r="J55" s="374"/>
      <c r="K55" s="374"/>
      <c r="L55" s="374"/>
      <c r="M55" s="374"/>
      <c r="N55" s="374"/>
      <c r="O55" s="374"/>
    </row>
    <row r="56" spans="1:15" ht="15" customHeight="1" x14ac:dyDescent="0.25">
      <c r="A56" s="376"/>
      <c r="B56" s="360"/>
      <c r="D56" s="380"/>
      <c r="E56" s="380"/>
      <c r="F56" s="374"/>
      <c r="G56" s="374"/>
      <c r="H56" s="374"/>
      <c r="I56" s="374"/>
      <c r="J56" s="374"/>
      <c r="K56" s="374"/>
      <c r="L56" s="374"/>
      <c r="M56" s="374"/>
      <c r="N56" s="374"/>
      <c r="O56" s="374"/>
    </row>
    <row r="57" spans="1:15" ht="15" customHeight="1" x14ac:dyDescent="0.25">
      <c r="A57" s="376"/>
      <c r="B57" s="360"/>
      <c r="D57" s="380"/>
      <c r="E57" s="380"/>
      <c r="F57" s="374"/>
      <c r="G57" s="374"/>
      <c r="H57" s="374"/>
      <c r="I57" s="374"/>
      <c r="J57" s="374"/>
      <c r="K57" s="374"/>
      <c r="L57" s="374"/>
      <c r="M57" s="374"/>
      <c r="N57" s="374"/>
      <c r="O57" s="374"/>
    </row>
    <row r="58" spans="1:15" ht="15" customHeight="1" x14ac:dyDescent="0.25">
      <c r="A58" s="376"/>
      <c r="B58" s="360"/>
      <c r="D58" s="380"/>
      <c r="E58" s="380"/>
      <c r="F58" s="374"/>
      <c r="G58" s="374"/>
      <c r="H58" s="374"/>
      <c r="I58" s="374"/>
      <c r="J58" s="374"/>
      <c r="K58" s="374"/>
      <c r="L58" s="374"/>
      <c r="M58" s="374"/>
      <c r="N58" s="374"/>
      <c r="O58" s="374"/>
    </row>
    <row r="59" spans="1:15" ht="15" customHeight="1" x14ac:dyDescent="0.25">
      <c r="A59" s="376"/>
      <c r="B59" s="360"/>
      <c r="D59" s="380"/>
      <c r="E59" s="380"/>
      <c r="F59" s="374"/>
      <c r="G59" s="374"/>
      <c r="H59" s="374"/>
      <c r="I59" s="374"/>
      <c r="J59" s="374"/>
      <c r="K59" s="374"/>
      <c r="L59" s="374"/>
      <c r="M59" s="374"/>
      <c r="N59" s="374"/>
      <c r="O59" s="374"/>
    </row>
    <row r="60" spans="1:15" ht="15" customHeight="1" x14ac:dyDescent="0.25">
      <c r="A60" s="376"/>
      <c r="D60" s="380"/>
      <c r="E60" s="380"/>
      <c r="F60" s="374"/>
      <c r="G60" s="374"/>
      <c r="H60" s="374"/>
      <c r="I60" s="374"/>
      <c r="J60" s="374"/>
      <c r="K60" s="374"/>
      <c r="L60" s="374"/>
      <c r="M60" s="374"/>
      <c r="N60" s="374"/>
      <c r="O60" s="374"/>
    </row>
    <row r="61" spans="1:15" ht="15" customHeight="1" x14ac:dyDescent="0.25">
      <c r="A61" s="376"/>
      <c r="D61" s="380"/>
      <c r="E61" s="380"/>
      <c r="F61" s="374"/>
      <c r="G61" s="374"/>
      <c r="H61" s="374"/>
      <c r="I61" s="374"/>
      <c r="J61" s="374"/>
      <c r="K61" s="374"/>
      <c r="L61" s="374"/>
      <c r="M61" s="374"/>
      <c r="N61" s="374"/>
      <c r="O61" s="374"/>
    </row>
    <row r="62" spans="1:15" ht="15" customHeight="1" x14ac:dyDescent="0.25">
      <c r="A62" s="376"/>
      <c r="B62" s="360"/>
      <c r="D62" s="380"/>
      <c r="E62" s="380"/>
      <c r="F62" s="374"/>
      <c r="G62" s="374"/>
      <c r="H62" s="374"/>
      <c r="I62" s="374"/>
      <c r="J62" s="374"/>
      <c r="K62" s="374"/>
      <c r="L62" s="374"/>
      <c r="M62" s="374"/>
      <c r="N62" s="374"/>
      <c r="O62" s="374"/>
    </row>
    <row r="63" spans="1:15" ht="15" customHeight="1" x14ac:dyDescent="0.25">
      <c r="A63" s="376"/>
      <c r="D63" s="380"/>
      <c r="E63" s="380"/>
      <c r="F63" s="374"/>
      <c r="G63" s="374"/>
      <c r="H63" s="374"/>
      <c r="I63" s="374"/>
      <c r="J63" s="374"/>
      <c r="K63" s="374"/>
      <c r="L63" s="374"/>
      <c r="M63" s="374"/>
      <c r="N63" s="374"/>
      <c r="O63" s="374"/>
    </row>
    <row r="64" spans="1:15" ht="15" customHeight="1" x14ac:dyDescent="0.25">
      <c r="A64" s="376"/>
      <c r="D64" s="380"/>
      <c r="E64" s="380"/>
      <c r="F64" s="374"/>
      <c r="G64" s="374"/>
      <c r="H64" s="374"/>
      <c r="I64" s="374"/>
      <c r="J64" s="374"/>
      <c r="K64" s="374"/>
      <c r="L64" s="374"/>
      <c r="M64" s="374"/>
      <c r="N64" s="374"/>
      <c r="O64" s="374"/>
    </row>
    <row r="65" spans="1:15" ht="15" customHeight="1" x14ac:dyDescent="0.25">
      <c r="A65" s="376"/>
      <c r="D65" s="380"/>
      <c r="E65" s="380"/>
      <c r="F65" s="374"/>
      <c r="G65" s="374"/>
      <c r="H65" s="374"/>
      <c r="I65" s="374"/>
      <c r="J65" s="374"/>
      <c r="K65" s="374"/>
      <c r="L65" s="374"/>
      <c r="M65" s="374"/>
      <c r="N65" s="374"/>
      <c r="O65" s="374"/>
    </row>
    <row r="66" spans="1:15" ht="15" customHeight="1" x14ac:dyDescent="0.25">
      <c r="A66" s="376"/>
      <c r="D66" s="380"/>
      <c r="E66" s="380"/>
      <c r="F66" s="374"/>
      <c r="G66" s="374"/>
      <c r="H66" s="374"/>
      <c r="I66" s="374"/>
      <c r="J66" s="374"/>
      <c r="K66" s="374"/>
      <c r="L66" s="374"/>
      <c r="M66" s="374"/>
      <c r="N66" s="374"/>
      <c r="O66" s="374"/>
    </row>
    <row r="67" spans="1:15" ht="15" customHeight="1" x14ac:dyDescent="0.25">
      <c r="A67" s="376"/>
      <c r="D67" s="380"/>
      <c r="E67" s="380"/>
      <c r="F67" s="374"/>
      <c r="G67" s="374"/>
      <c r="H67" s="374"/>
      <c r="I67" s="374"/>
      <c r="J67" s="374"/>
      <c r="K67" s="374"/>
      <c r="L67" s="374"/>
      <c r="M67" s="374"/>
      <c r="N67" s="374"/>
      <c r="O67" s="374"/>
    </row>
    <row r="68" spans="1:15" ht="15" customHeight="1" x14ac:dyDescent="0.25">
      <c r="A68" s="376"/>
      <c r="D68" s="380"/>
      <c r="E68" s="380"/>
      <c r="F68" s="374"/>
      <c r="G68" s="374"/>
      <c r="H68" s="374"/>
      <c r="I68" s="374"/>
      <c r="J68" s="374"/>
      <c r="K68" s="374"/>
      <c r="L68" s="374"/>
      <c r="M68" s="374"/>
      <c r="N68" s="374"/>
      <c r="O68" s="374"/>
    </row>
    <row r="69" spans="1:15" ht="15" customHeight="1" x14ac:dyDescent="0.25">
      <c r="A69" s="376"/>
      <c r="D69" s="380"/>
      <c r="E69" s="380"/>
      <c r="F69" s="374"/>
      <c r="G69" s="374"/>
      <c r="H69" s="374"/>
      <c r="I69" s="374"/>
      <c r="J69" s="374"/>
      <c r="K69" s="374"/>
      <c r="L69" s="374"/>
      <c r="M69" s="374"/>
      <c r="N69" s="374"/>
      <c r="O69" s="374"/>
    </row>
    <row r="70" spans="1:15" ht="15" customHeight="1" x14ac:dyDescent="0.25">
      <c r="B70" s="360"/>
      <c r="D70" s="380"/>
      <c r="E70" s="380"/>
      <c r="F70" s="374"/>
      <c r="G70" s="374"/>
      <c r="H70" s="374"/>
      <c r="I70" s="374"/>
      <c r="J70" s="374"/>
      <c r="K70" s="374"/>
      <c r="L70" s="374"/>
      <c r="M70" s="374"/>
      <c r="N70" s="374"/>
      <c r="O70" s="374"/>
    </row>
    <row r="71" spans="1:15" ht="15" customHeight="1" x14ac:dyDescent="0.25">
      <c r="B71" s="360"/>
      <c r="D71" s="380"/>
      <c r="E71" s="380"/>
      <c r="F71" s="374"/>
      <c r="G71" s="374"/>
      <c r="H71" s="374"/>
      <c r="I71" s="374"/>
      <c r="J71" s="374"/>
      <c r="K71" s="374"/>
      <c r="L71" s="374"/>
      <c r="M71" s="374"/>
      <c r="N71" s="374"/>
      <c r="O71" s="374"/>
    </row>
    <row r="72" spans="1:15" ht="15" customHeight="1" x14ac:dyDescent="0.25">
      <c r="B72" s="360"/>
      <c r="D72" s="380"/>
      <c r="E72" s="380"/>
      <c r="F72" s="374"/>
      <c r="G72" s="374"/>
      <c r="H72" s="374"/>
      <c r="I72" s="374"/>
      <c r="J72" s="374"/>
      <c r="K72" s="374"/>
      <c r="L72" s="374"/>
      <c r="M72" s="374"/>
      <c r="N72" s="374"/>
      <c r="O72" s="374"/>
    </row>
    <row r="73" spans="1:15" ht="15" customHeight="1" x14ac:dyDescent="0.25">
      <c r="A73" s="376"/>
      <c r="B73" s="360"/>
      <c r="D73" s="380"/>
      <c r="E73" s="380"/>
      <c r="F73" s="374"/>
      <c r="G73" s="374"/>
      <c r="H73" s="374"/>
      <c r="I73" s="374"/>
      <c r="J73" s="374"/>
      <c r="K73" s="374"/>
      <c r="L73" s="374"/>
      <c r="M73" s="374"/>
      <c r="N73" s="374"/>
      <c r="O73" s="374"/>
    </row>
    <row r="74" spans="1:15" ht="15" customHeight="1" x14ac:dyDescent="0.25">
      <c r="A74" s="376"/>
      <c r="B74" s="360"/>
      <c r="D74" s="380"/>
      <c r="E74" s="380"/>
      <c r="F74" s="374"/>
      <c r="G74" s="374"/>
      <c r="H74" s="374"/>
      <c r="I74" s="374"/>
      <c r="J74" s="374"/>
      <c r="K74" s="374"/>
      <c r="L74" s="374"/>
      <c r="M74" s="374"/>
      <c r="N74" s="374"/>
      <c r="O74" s="374"/>
    </row>
    <row r="75" spans="1:15" ht="15" customHeight="1" x14ac:dyDescent="0.25">
      <c r="A75" s="376"/>
      <c r="B75" s="360"/>
      <c r="D75" s="380"/>
      <c r="E75" s="380"/>
      <c r="F75" s="374"/>
      <c r="G75" s="374"/>
      <c r="H75" s="374"/>
      <c r="I75" s="374"/>
      <c r="J75" s="374"/>
      <c r="K75" s="374"/>
      <c r="L75" s="374"/>
      <c r="M75" s="374"/>
      <c r="N75" s="374"/>
      <c r="O75" s="374"/>
    </row>
    <row r="76" spans="1:15" ht="15" customHeight="1" x14ac:dyDescent="0.25">
      <c r="A76" s="376"/>
      <c r="B76" s="360"/>
      <c r="D76" s="380"/>
      <c r="E76" s="380"/>
      <c r="F76" s="374"/>
      <c r="G76" s="374"/>
      <c r="H76" s="374"/>
      <c r="I76" s="374"/>
      <c r="J76" s="374"/>
      <c r="K76" s="374"/>
      <c r="L76" s="374"/>
      <c r="M76" s="374"/>
      <c r="N76" s="374"/>
      <c r="O76" s="374"/>
    </row>
    <row r="77" spans="1:15" ht="15" customHeight="1" x14ac:dyDescent="0.25">
      <c r="A77" s="376"/>
      <c r="B77" s="360"/>
      <c r="D77" s="380"/>
      <c r="E77" s="380"/>
      <c r="F77" s="374"/>
      <c r="G77" s="374"/>
      <c r="H77" s="374"/>
      <c r="I77" s="374"/>
      <c r="J77" s="374"/>
      <c r="K77" s="374"/>
      <c r="L77" s="374"/>
      <c r="M77" s="374"/>
      <c r="N77" s="374"/>
      <c r="O77" s="374"/>
    </row>
    <row r="78" spans="1:15" ht="15" customHeight="1" x14ac:dyDescent="0.25">
      <c r="A78" s="376"/>
      <c r="B78" s="360"/>
      <c r="D78" s="380"/>
      <c r="E78" s="380"/>
      <c r="F78" s="374"/>
      <c r="G78" s="374"/>
      <c r="H78" s="374"/>
      <c r="I78" s="374"/>
      <c r="J78" s="374"/>
      <c r="K78" s="374"/>
      <c r="L78" s="374"/>
      <c r="M78" s="374"/>
      <c r="N78" s="374"/>
      <c r="O78" s="374"/>
    </row>
    <row r="79" spans="1:15" ht="15" customHeight="1" x14ac:dyDescent="0.25">
      <c r="A79" s="376"/>
      <c r="B79" s="360"/>
      <c r="D79" s="380"/>
      <c r="E79" s="380"/>
      <c r="F79" s="374"/>
      <c r="G79" s="374"/>
      <c r="H79" s="374"/>
      <c r="I79" s="374"/>
      <c r="J79" s="374"/>
      <c r="K79" s="374"/>
      <c r="L79" s="374"/>
      <c r="M79" s="374"/>
      <c r="N79" s="374"/>
      <c r="O79" s="374"/>
    </row>
    <row r="80" spans="1:15" ht="15" customHeight="1" x14ac:dyDescent="0.25">
      <c r="A80" s="376"/>
      <c r="B80" s="360"/>
      <c r="D80" s="380"/>
      <c r="E80" s="380"/>
      <c r="F80" s="374"/>
      <c r="G80" s="374"/>
      <c r="H80" s="374"/>
      <c r="I80" s="374"/>
      <c r="J80" s="374"/>
      <c r="K80" s="374"/>
      <c r="L80" s="374"/>
      <c r="M80" s="374"/>
      <c r="N80" s="374"/>
      <c r="O80" s="374"/>
    </row>
    <row r="81" spans="1:16" ht="15" customHeight="1" x14ac:dyDescent="0.25">
      <c r="B81" s="360"/>
      <c r="D81" s="380"/>
      <c r="E81" s="380"/>
      <c r="F81" s="374"/>
      <c r="G81" s="374"/>
      <c r="H81" s="374"/>
      <c r="I81" s="374"/>
      <c r="J81" s="374"/>
      <c r="K81" s="374"/>
      <c r="L81" s="374"/>
      <c r="M81" s="374"/>
      <c r="N81" s="374"/>
      <c r="O81" s="374"/>
    </row>
    <row r="82" spans="1:16" ht="15" customHeight="1" x14ac:dyDescent="0.25">
      <c r="C82" s="381"/>
      <c r="D82" s="382"/>
      <c r="H82" s="374"/>
      <c r="I82" s="374"/>
      <c r="J82" s="374"/>
      <c r="K82" s="374"/>
      <c r="L82" s="374"/>
      <c r="M82" s="374"/>
      <c r="N82" s="374"/>
      <c r="O82" s="374"/>
    </row>
    <row r="83" spans="1:16" ht="15" customHeight="1" x14ac:dyDescent="0.25">
      <c r="A83" s="376"/>
      <c r="C83" s="381"/>
      <c r="D83" s="382"/>
    </row>
    <row r="84" spans="1:16" s="375" customFormat="1" ht="15" customHeight="1" x14ac:dyDescent="0.25">
      <c r="A84" s="376"/>
      <c r="B84" s="373"/>
      <c r="C84" s="381"/>
      <c r="D84" s="382"/>
      <c r="F84" s="360"/>
      <c r="G84" s="360"/>
      <c r="H84" s="360"/>
      <c r="I84" s="360"/>
      <c r="J84" s="360"/>
      <c r="K84" s="360"/>
      <c r="L84" s="360"/>
      <c r="M84" s="360"/>
      <c r="N84" s="360"/>
      <c r="O84" s="360"/>
      <c r="P84" s="360"/>
    </row>
    <row r="85" spans="1:16" s="375" customFormat="1" ht="15" customHeight="1" x14ac:dyDescent="0.25">
      <c r="A85" s="376"/>
      <c r="B85" s="373"/>
      <c r="C85" s="381"/>
      <c r="D85" s="382"/>
      <c r="F85" s="360"/>
      <c r="G85" s="360"/>
      <c r="H85" s="360"/>
      <c r="I85" s="360"/>
      <c r="J85" s="360"/>
      <c r="K85" s="360"/>
      <c r="L85" s="360"/>
      <c r="M85" s="360"/>
      <c r="N85" s="360"/>
      <c r="O85" s="360"/>
      <c r="P85" s="360"/>
    </row>
    <row r="86" spans="1:16" s="375" customFormat="1" ht="15" customHeight="1" x14ac:dyDescent="0.25">
      <c r="A86" s="376"/>
      <c r="B86" s="360"/>
      <c r="C86" s="381"/>
      <c r="D86" s="382"/>
      <c r="F86" s="360"/>
      <c r="G86" s="360"/>
      <c r="H86" s="360"/>
      <c r="I86" s="360"/>
      <c r="J86" s="360"/>
      <c r="K86" s="360"/>
      <c r="L86" s="360"/>
      <c r="M86" s="360"/>
      <c r="N86" s="360"/>
      <c r="O86" s="360"/>
      <c r="P86" s="360"/>
    </row>
    <row r="87" spans="1:16" s="375" customFormat="1" ht="15" customHeight="1" x14ac:dyDescent="0.25">
      <c r="A87" s="376"/>
      <c r="B87" s="360"/>
      <c r="C87" s="381"/>
      <c r="D87" s="382"/>
      <c r="F87" s="360"/>
      <c r="G87" s="360"/>
      <c r="H87" s="360"/>
      <c r="I87" s="360"/>
      <c r="J87" s="360"/>
      <c r="K87" s="360"/>
      <c r="L87" s="360"/>
      <c r="M87" s="360"/>
      <c r="N87" s="360"/>
      <c r="O87" s="360"/>
      <c r="P87" s="360"/>
    </row>
    <row r="88" spans="1:16" s="375" customFormat="1" ht="15" customHeight="1" x14ac:dyDescent="0.25">
      <c r="A88" s="376"/>
      <c r="B88" s="360"/>
      <c r="C88" s="381"/>
      <c r="D88" s="382"/>
      <c r="F88" s="360"/>
      <c r="G88" s="360"/>
      <c r="H88" s="360"/>
      <c r="I88" s="360"/>
      <c r="J88" s="360"/>
      <c r="K88" s="360"/>
      <c r="L88" s="360"/>
      <c r="M88" s="360"/>
      <c r="N88" s="360"/>
      <c r="O88" s="360"/>
      <c r="P88" s="360"/>
    </row>
    <row r="89" spans="1:16" s="375" customFormat="1" ht="15" customHeight="1" x14ac:dyDescent="0.25">
      <c r="A89" s="376"/>
      <c r="B89" s="373"/>
      <c r="C89" s="374"/>
      <c r="D89" s="382"/>
      <c r="F89" s="360"/>
      <c r="G89" s="360"/>
      <c r="H89" s="360"/>
      <c r="I89" s="360"/>
      <c r="J89" s="360"/>
      <c r="K89" s="360"/>
      <c r="L89" s="360"/>
      <c r="M89" s="360"/>
      <c r="N89" s="360"/>
      <c r="O89" s="360"/>
      <c r="P89" s="360"/>
    </row>
    <row r="90" spans="1:16" s="375" customFormat="1" ht="15" customHeight="1" x14ac:dyDescent="0.25">
      <c r="A90" s="376"/>
      <c r="B90" s="373"/>
      <c r="C90" s="374"/>
      <c r="D90" s="382"/>
      <c r="F90" s="360"/>
      <c r="G90" s="360"/>
      <c r="H90" s="360"/>
      <c r="I90" s="360"/>
      <c r="J90" s="360"/>
      <c r="K90" s="360"/>
      <c r="L90" s="360"/>
      <c r="M90" s="360"/>
      <c r="N90" s="360"/>
      <c r="O90" s="360"/>
      <c r="P90" s="360"/>
    </row>
    <row r="91" spans="1:16" s="375" customFormat="1" ht="15" customHeight="1" x14ac:dyDescent="0.25">
      <c r="A91" s="376"/>
      <c r="B91" s="373"/>
      <c r="C91" s="381"/>
      <c r="D91" s="382"/>
      <c r="F91" s="360"/>
      <c r="G91" s="360"/>
      <c r="H91" s="360"/>
      <c r="I91" s="360"/>
      <c r="J91" s="360"/>
      <c r="K91" s="360"/>
      <c r="L91" s="360"/>
      <c r="M91" s="360"/>
      <c r="N91" s="360"/>
      <c r="O91" s="360"/>
      <c r="P91" s="360"/>
    </row>
    <row r="92" spans="1:16" s="375" customFormat="1" ht="15" customHeight="1" x14ac:dyDescent="0.25">
      <c r="A92" s="376"/>
      <c r="B92" s="360"/>
      <c r="C92" s="381"/>
      <c r="D92" s="382"/>
      <c r="F92" s="360"/>
      <c r="G92" s="360"/>
      <c r="H92" s="360"/>
      <c r="I92" s="360"/>
      <c r="J92" s="360"/>
      <c r="K92" s="360"/>
      <c r="L92" s="360"/>
      <c r="M92" s="360"/>
      <c r="N92" s="360"/>
      <c r="O92" s="360"/>
      <c r="P92" s="360"/>
    </row>
    <row r="93" spans="1:16" s="375" customFormat="1" ht="15" customHeight="1" x14ac:dyDescent="0.25">
      <c r="A93" s="376"/>
      <c r="B93" s="373"/>
      <c r="C93" s="381"/>
      <c r="D93" s="382"/>
      <c r="F93" s="360"/>
      <c r="G93" s="360"/>
      <c r="H93" s="360"/>
      <c r="I93" s="360"/>
      <c r="J93" s="360"/>
      <c r="K93" s="360"/>
      <c r="L93" s="360"/>
      <c r="M93" s="360"/>
      <c r="N93" s="360"/>
      <c r="O93" s="360"/>
      <c r="P93" s="360"/>
    </row>
    <row r="94" spans="1:16" s="375" customFormat="1" ht="15" customHeight="1" x14ac:dyDescent="0.25">
      <c r="A94" s="376"/>
      <c r="B94" s="360"/>
      <c r="C94" s="381"/>
      <c r="D94" s="382"/>
      <c r="F94" s="360"/>
      <c r="G94" s="360"/>
      <c r="H94" s="360"/>
      <c r="I94" s="360"/>
      <c r="J94" s="360"/>
      <c r="K94" s="360"/>
      <c r="L94" s="360"/>
      <c r="M94" s="360"/>
      <c r="N94" s="360"/>
      <c r="O94" s="360"/>
      <c r="P94" s="360"/>
    </row>
    <row r="95" spans="1:16" s="375" customFormat="1" ht="15" customHeight="1" x14ac:dyDescent="0.25">
      <c r="A95" s="376"/>
      <c r="B95" s="373"/>
      <c r="C95" s="381"/>
      <c r="D95" s="382"/>
      <c r="F95" s="360"/>
      <c r="G95" s="360"/>
      <c r="H95" s="360"/>
      <c r="I95" s="360"/>
      <c r="J95" s="360"/>
      <c r="K95" s="360"/>
      <c r="L95" s="360"/>
      <c r="M95" s="360"/>
      <c r="N95" s="360"/>
      <c r="O95" s="360"/>
      <c r="P95" s="360"/>
    </row>
    <row r="96" spans="1:16" s="375" customFormat="1" ht="15" customHeight="1" x14ac:dyDescent="0.25">
      <c r="A96" s="376"/>
      <c r="B96" s="373"/>
      <c r="C96" s="381"/>
      <c r="D96" s="382"/>
      <c r="F96" s="360"/>
      <c r="G96" s="360"/>
      <c r="H96" s="360"/>
      <c r="I96" s="360"/>
      <c r="J96" s="360"/>
      <c r="K96" s="360"/>
      <c r="L96" s="360"/>
      <c r="M96" s="360"/>
      <c r="N96" s="360"/>
      <c r="O96" s="360"/>
      <c r="P96" s="360"/>
    </row>
    <row r="97" spans="1:16" s="375" customFormat="1" ht="15" customHeight="1" x14ac:dyDescent="0.25">
      <c r="A97" s="360"/>
      <c r="B97" s="373"/>
      <c r="C97" s="381"/>
      <c r="D97" s="382"/>
      <c r="F97" s="360"/>
      <c r="G97" s="360"/>
      <c r="H97" s="360"/>
      <c r="I97" s="360"/>
      <c r="J97" s="360"/>
      <c r="K97" s="360"/>
      <c r="L97" s="360"/>
      <c r="M97" s="360"/>
      <c r="N97" s="360"/>
      <c r="O97" s="360"/>
      <c r="P97" s="360"/>
    </row>
    <row r="98" spans="1:16" s="375" customFormat="1" ht="15" customHeight="1" x14ac:dyDescent="0.25">
      <c r="A98" s="360"/>
      <c r="B98" s="373"/>
      <c r="C98" s="381"/>
      <c r="D98" s="382"/>
      <c r="F98" s="360"/>
      <c r="G98" s="360"/>
      <c r="H98" s="360"/>
      <c r="I98" s="360"/>
      <c r="J98" s="360"/>
      <c r="K98" s="360"/>
      <c r="L98" s="360"/>
      <c r="M98" s="360"/>
      <c r="N98" s="360"/>
      <c r="O98" s="360"/>
      <c r="P98" s="360"/>
    </row>
    <row r="99" spans="1:16" s="375" customFormat="1" ht="15" customHeight="1" x14ac:dyDescent="0.25">
      <c r="A99" s="360"/>
      <c r="B99" s="373"/>
      <c r="C99" s="381"/>
      <c r="D99" s="382"/>
      <c r="F99" s="360"/>
      <c r="G99" s="360"/>
      <c r="H99" s="360"/>
      <c r="I99" s="360"/>
      <c r="J99" s="360"/>
      <c r="K99" s="360"/>
      <c r="L99" s="360"/>
      <c r="M99" s="360"/>
      <c r="N99" s="360"/>
      <c r="O99" s="360"/>
      <c r="P99" s="360"/>
    </row>
    <row r="100" spans="1:16" ht="15" customHeight="1" x14ac:dyDescent="0.25">
      <c r="C100" s="381"/>
      <c r="D100" s="382"/>
    </row>
    <row r="101" spans="1:16" ht="15" customHeight="1" x14ac:dyDescent="0.25">
      <c r="C101" s="381"/>
      <c r="D101" s="382"/>
    </row>
    <row r="102" spans="1:16" ht="15" customHeight="1" x14ac:dyDescent="0.25">
      <c r="C102" s="381"/>
      <c r="D102" s="382"/>
    </row>
    <row r="103" spans="1:16" ht="15" customHeight="1" x14ac:dyDescent="0.25">
      <c r="C103" s="381"/>
      <c r="D103" s="382"/>
    </row>
    <row r="104" spans="1:16" ht="15" customHeight="1" x14ac:dyDescent="0.25">
      <c r="C104" s="381"/>
      <c r="D104" s="382"/>
    </row>
    <row r="105" spans="1:16" ht="15" customHeight="1" x14ac:dyDescent="0.25">
      <c r="C105" s="381"/>
      <c r="D105" s="382"/>
    </row>
    <row r="106" spans="1:16" ht="15" customHeight="1" x14ac:dyDescent="0.25">
      <c r="C106" s="381"/>
      <c r="D106" s="382"/>
    </row>
    <row r="107" spans="1:16" ht="15" customHeight="1" x14ac:dyDescent="0.25">
      <c r="B107" s="360"/>
      <c r="C107" s="381"/>
      <c r="D107" s="382"/>
    </row>
    <row r="108" spans="1:16" ht="15" customHeight="1" x14ac:dyDescent="0.25">
      <c r="A108" s="383"/>
      <c r="B108" s="360"/>
      <c r="C108" s="384"/>
      <c r="D108" s="380"/>
      <c r="F108" s="385"/>
      <c r="G108" s="385"/>
    </row>
    <row r="109" spans="1:16" ht="15" customHeight="1" x14ac:dyDescent="0.25">
      <c r="A109" s="383"/>
      <c r="B109" s="386"/>
      <c r="C109" s="384"/>
      <c r="D109" s="380"/>
      <c r="E109" s="380"/>
      <c r="F109" s="387"/>
      <c r="G109" s="387"/>
      <c r="H109" s="385"/>
      <c r="I109" s="385"/>
      <c r="J109" s="385"/>
      <c r="K109" s="385"/>
      <c r="L109" s="385"/>
      <c r="M109" s="385"/>
      <c r="N109" s="385"/>
      <c r="O109" s="385"/>
    </row>
    <row r="110" spans="1:16" ht="15" customHeight="1" x14ac:dyDescent="0.25">
      <c r="A110" s="383"/>
      <c r="B110" s="386"/>
      <c r="C110" s="384"/>
      <c r="F110" s="385"/>
      <c r="G110" s="385"/>
      <c r="H110" s="387"/>
      <c r="I110" s="387"/>
      <c r="J110" s="387"/>
      <c r="K110" s="387"/>
      <c r="L110" s="387"/>
      <c r="M110" s="387"/>
      <c r="N110" s="387"/>
      <c r="O110" s="387"/>
    </row>
    <row r="111" spans="1:16" ht="15" customHeight="1" x14ac:dyDescent="0.25">
      <c r="A111" s="383"/>
      <c r="B111" s="386"/>
      <c r="C111" s="384"/>
      <c r="F111" s="385"/>
      <c r="G111" s="385"/>
      <c r="H111" s="385"/>
      <c r="I111" s="385"/>
      <c r="J111" s="385"/>
      <c r="K111" s="385"/>
      <c r="L111" s="385"/>
      <c r="M111" s="385"/>
      <c r="N111" s="385"/>
      <c r="O111" s="385"/>
    </row>
    <row r="112" spans="1:16" ht="15" customHeight="1" x14ac:dyDescent="0.25">
      <c r="A112" s="383"/>
      <c r="C112" s="384"/>
      <c r="F112" s="385"/>
      <c r="G112" s="385"/>
      <c r="H112" s="385"/>
      <c r="I112" s="385"/>
      <c r="J112" s="385"/>
      <c r="K112" s="385"/>
      <c r="L112" s="385"/>
      <c r="M112" s="385"/>
      <c r="N112" s="385"/>
      <c r="O112" s="385"/>
    </row>
    <row r="113" spans="1:15" ht="15" customHeight="1" x14ac:dyDescent="0.25">
      <c r="A113" s="383"/>
      <c r="C113" s="384"/>
      <c r="F113" s="385"/>
      <c r="G113" s="385"/>
      <c r="H113" s="385"/>
      <c r="I113" s="385"/>
      <c r="J113" s="385"/>
      <c r="K113" s="385"/>
      <c r="L113" s="385"/>
      <c r="M113" s="385"/>
      <c r="N113" s="385"/>
      <c r="O113" s="385"/>
    </row>
    <row r="114" spans="1:15" ht="15" customHeight="1" x14ac:dyDescent="0.25">
      <c r="A114" s="383"/>
      <c r="B114" s="388"/>
      <c r="C114" s="384"/>
      <c r="F114" s="385"/>
      <c r="G114" s="385"/>
      <c r="H114" s="385"/>
      <c r="I114" s="385"/>
      <c r="J114" s="385"/>
      <c r="K114" s="385"/>
      <c r="L114" s="385"/>
      <c r="M114" s="385"/>
      <c r="N114" s="385"/>
      <c r="O114" s="385"/>
    </row>
    <row r="115" spans="1:15" ht="15" customHeight="1" x14ac:dyDescent="0.25">
      <c r="A115" s="383"/>
      <c r="C115" s="384"/>
      <c r="F115" s="385"/>
      <c r="G115" s="385"/>
      <c r="H115" s="385"/>
      <c r="I115" s="385"/>
      <c r="J115" s="385"/>
      <c r="K115" s="385"/>
      <c r="L115" s="385"/>
      <c r="M115" s="385"/>
      <c r="N115" s="385"/>
      <c r="O115" s="385"/>
    </row>
    <row r="116" spans="1:15" ht="15" customHeight="1" x14ac:dyDescent="0.25">
      <c r="A116" s="383"/>
      <c r="B116" s="386"/>
      <c r="C116" s="384"/>
      <c r="F116" s="385"/>
      <c r="G116" s="385"/>
      <c r="H116" s="385"/>
      <c r="I116" s="385"/>
      <c r="J116" s="385"/>
      <c r="K116" s="385"/>
      <c r="L116" s="385"/>
      <c r="M116" s="385"/>
      <c r="N116" s="385"/>
      <c r="O116" s="385"/>
    </row>
    <row r="117" spans="1:15" ht="15" customHeight="1" x14ac:dyDescent="0.25">
      <c r="A117" s="383"/>
      <c r="B117" s="386"/>
      <c r="C117" s="384"/>
      <c r="F117" s="385"/>
      <c r="G117" s="385"/>
      <c r="H117" s="385"/>
      <c r="I117" s="385"/>
      <c r="J117" s="385"/>
      <c r="K117" s="385"/>
      <c r="L117" s="385"/>
      <c r="M117" s="385"/>
      <c r="N117" s="385"/>
      <c r="O117" s="385"/>
    </row>
    <row r="118" spans="1:15" ht="15" customHeight="1" x14ac:dyDescent="0.25">
      <c r="A118" s="383"/>
      <c r="B118" s="386"/>
      <c r="C118" s="384"/>
      <c r="F118" s="385"/>
      <c r="G118" s="385"/>
      <c r="H118" s="385"/>
      <c r="I118" s="385"/>
      <c r="J118" s="385"/>
      <c r="K118" s="385"/>
      <c r="L118" s="385"/>
      <c r="M118" s="385"/>
      <c r="N118" s="385"/>
      <c r="O118" s="385"/>
    </row>
    <row r="119" spans="1:15" ht="15" customHeight="1" x14ac:dyDescent="0.25">
      <c r="A119" s="383"/>
      <c r="B119" s="386"/>
      <c r="C119" s="384"/>
      <c r="F119" s="385"/>
      <c r="G119" s="385"/>
      <c r="H119" s="385"/>
      <c r="I119" s="385"/>
      <c r="J119" s="385"/>
      <c r="K119" s="385"/>
      <c r="L119" s="385"/>
      <c r="M119" s="385"/>
      <c r="N119" s="385"/>
      <c r="O119" s="385"/>
    </row>
    <row r="120" spans="1:15" ht="15" customHeight="1" x14ac:dyDescent="0.25">
      <c r="A120" s="383"/>
      <c r="B120" s="386"/>
      <c r="C120" s="384"/>
      <c r="F120" s="385"/>
      <c r="G120" s="385"/>
      <c r="H120" s="385"/>
      <c r="I120" s="385"/>
      <c r="J120" s="385"/>
      <c r="K120" s="385"/>
      <c r="L120" s="385"/>
      <c r="M120" s="385"/>
      <c r="N120" s="385"/>
      <c r="O120" s="385"/>
    </row>
    <row r="121" spans="1:15" ht="15" customHeight="1" x14ac:dyDescent="0.25">
      <c r="A121" s="383"/>
      <c r="B121" s="386"/>
      <c r="C121" s="384"/>
      <c r="F121" s="385"/>
      <c r="G121" s="385"/>
      <c r="H121" s="385"/>
      <c r="I121" s="385"/>
      <c r="J121" s="385"/>
      <c r="K121" s="385"/>
      <c r="L121" s="385"/>
      <c r="M121" s="385"/>
      <c r="N121" s="385"/>
      <c r="O121" s="385"/>
    </row>
    <row r="122" spans="1:15" ht="15" customHeight="1" x14ac:dyDescent="0.25">
      <c r="C122" s="384"/>
      <c r="F122" s="385"/>
      <c r="G122" s="385"/>
      <c r="H122" s="385"/>
      <c r="I122" s="385"/>
      <c r="J122" s="385"/>
      <c r="K122" s="385"/>
      <c r="L122" s="385"/>
      <c r="M122" s="385"/>
      <c r="N122" s="385"/>
      <c r="O122" s="385"/>
    </row>
    <row r="123" spans="1:15" ht="15" customHeight="1" x14ac:dyDescent="0.25">
      <c r="B123" s="386"/>
      <c r="C123" s="384"/>
      <c r="F123" s="385"/>
      <c r="G123" s="385"/>
      <c r="H123" s="385"/>
      <c r="I123" s="385"/>
      <c r="J123" s="385"/>
      <c r="K123" s="385"/>
      <c r="L123" s="385"/>
      <c r="M123" s="385"/>
      <c r="N123" s="385"/>
      <c r="O123" s="385"/>
    </row>
    <row r="124" spans="1:15" ht="15" customHeight="1" x14ac:dyDescent="0.25">
      <c r="B124" s="386"/>
      <c r="C124" s="384"/>
      <c r="F124" s="385"/>
      <c r="G124" s="385"/>
      <c r="H124" s="385"/>
      <c r="I124" s="385"/>
      <c r="J124" s="385"/>
      <c r="K124" s="385"/>
      <c r="L124" s="385"/>
      <c r="M124" s="385"/>
      <c r="N124" s="385"/>
      <c r="O124" s="385"/>
    </row>
    <row r="125" spans="1:15" ht="15" customHeight="1" x14ac:dyDescent="0.25">
      <c r="B125" s="386"/>
      <c r="C125" s="384"/>
      <c r="F125" s="385"/>
      <c r="G125" s="385"/>
      <c r="H125" s="385"/>
      <c r="I125" s="385"/>
      <c r="J125" s="385"/>
      <c r="K125" s="385"/>
      <c r="L125" s="385"/>
      <c r="M125" s="385"/>
      <c r="N125" s="385"/>
      <c r="O125" s="385"/>
    </row>
    <row r="126" spans="1:15" ht="15" customHeight="1" x14ac:dyDescent="0.25">
      <c r="B126" s="388"/>
      <c r="C126" s="384"/>
      <c r="F126" s="385"/>
      <c r="G126" s="385"/>
      <c r="H126" s="385"/>
      <c r="I126" s="385"/>
      <c r="J126" s="385"/>
      <c r="K126" s="385"/>
      <c r="L126" s="385"/>
      <c r="M126" s="385"/>
      <c r="N126" s="385"/>
      <c r="O126" s="385"/>
    </row>
    <row r="127" spans="1:15" ht="15" customHeight="1" x14ac:dyDescent="0.25">
      <c r="B127" s="386"/>
      <c r="C127" s="384"/>
      <c r="F127" s="385"/>
      <c r="G127" s="385"/>
      <c r="H127" s="385"/>
      <c r="I127" s="385"/>
      <c r="J127" s="385"/>
      <c r="K127" s="385"/>
      <c r="L127" s="385"/>
      <c r="M127" s="385"/>
      <c r="N127" s="385"/>
      <c r="O127" s="385"/>
    </row>
    <row r="128" spans="1:15" ht="15" customHeight="1" x14ac:dyDescent="0.25">
      <c r="B128" s="386"/>
      <c r="C128" s="384"/>
      <c r="F128" s="385"/>
      <c r="G128" s="385"/>
      <c r="H128" s="385"/>
      <c r="I128" s="385"/>
      <c r="J128" s="385"/>
      <c r="K128" s="385"/>
      <c r="L128" s="385"/>
      <c r="M128" s="385"/>
      <c r="N128" s="385"/>
      <c r="O128" s="385"/>
    </row>
    <row r="129" spans="2:15" ht="15" customHeight="1" x14ac:dyDescent="0.25">
      <c r="B129" s="386"/>
      <c r="C129" s="384"/>
      <c r="F129" s="385"/>
      <c r="G129" s="385"/>
      <c r="H129" s="385"/>
      <c r="I129" s="385"/>
      <c r="J129" s="385"/>
      <c r="K129" s="385"/>
      <c r="L129" s="385"/>
      <c r="M129" s="385"/>
      <c r="N129" s="385"/>
      <c r="O129" s="385"/>
    </row>
    <row r="130" spans="2:15" ht="15" customHeight="1" x14ac:dyDescent="0.25">
      <c r="B130" s="386"/>
      <c r="C130" s="384"/>
      <c r="F130" s="385"/>
      <c r="G130" s="385"/>
      <c r="H130" s="385"/>
      <c r="I130" s="385"/>
      <c r="J130" s="385"/>
      <c r="K130" s="385"/>
      <c r="L130" s="385"/>
      <c r="M130" s="385"/>
      <c r="N130" s="385"/>
      <c r="O130" s="385"/>
    </row>
    <row r="131" spans="2:15" ht="15" customHeight="1" x14ac:dyDescent="0.25">
      <c r="B131" s="386"/>
      <c r="C131" s="384"/>
      <c r="F131" s="385"/>
      <c r="G131" s="385"/>
      <c r="H131" s="385"/>
      <c r="I131" s="385"/>
      <c r="J131" s="385"/>
      <c r="K131" s="385"/>
      <c r="L131" s="385"/>
      <c r="M131" s="385"/>
      <c r="N131" s="385"/>
      <c r="O131" s="385"/>
    </row>
    <row r="132" spans="2:15" ht="15" customHeight="1" x14ac:dyDescent="0.25">
      <c r="B132" s="386"/>
      <c r="C132" s="384"/>
      <c r="F132" s="385"/>
      <c r="G132" s="385"/>
      <c r="H132" s="385"/>
      <c r="I132" s="385"/>
      <c r="J132" s="385"/>
      <c r="K132" s="385"/>
      <c r="L132" s="385"/>
      <c r="M132" s="385"/>
      <c r="N132" s="385"/>
      <c r="O132" s="385"/>
    </row>
    <row r="133" spans="2:15" ht="15" customHeight="1" x14ac:dyDescent="0.25">
      <c r="B133" s="386"/>
      <c r="C133" s="384"/>
      <c r="F133" s="385"/>
      <c r="G133" s="385"/>
      <c r="H133" s="385"/>
      <c r="I133" s="385"/>
      <c r="J133" s="385"/>
      <c r="K133" s="385"/>
      <c r="L133" s="385"/>
      <c r="M133" s="385"/>
      <c r="N133" s="385"/>
      <c r="O133" s="385"/>
    </row>
    <row r="134" spans="2:15" ht="15" customHeight="1" x14ac:dyDescent="0.25">
      <c r="B134" s="386"/>
      <c r="C134" s="384"/>
      <c r="F134" s="385"/>
      <c r="G134" s="385"/>
      <c r="H134" s="385"/>
      <c r="I134" s="385"/>
      <c r="J134" s="385"/>
      <c r="K134" s="385"/>
      <c r="L134" s="385"/>
      <c r="M134" s="385"/>
      <c r="N134" s="385"/>
      <c r="O134" s="385"/>
    </row>
    <row r="135" spans="2:15" ht="15" customHeight="1" x14ac:dyDescent="0.25">
      <c r="B135" s="389"/>
      <c r="C135" s="384"/>
      <c r="F135" s="385"/>
      <c r="G135" s="385"/>
      <c r="H135" s="385"/>
      <c r="I135" s="385"/>
      <c r="J135" s="385"/>
      <c r="K135" s="385"/>
      <c r="L135" s="385"/>
      <c r="M135" s="385"/>
      <c r="N135" s="385"/>
      <c r="O135" s="385"/>
    </row>
    <row r="136" spans="2:15" ht="15" customHeight="1" x14ac:dyDescent="0.25">
      <c r="C136" s="384"/>
      <c r="F136" s="385"/>
      <c r="G136" s="385"/>
      <c r="H136" s="385"/>
      <c r="I136" s="385"/>
      <c r="J136" s="385"/>
      <c r="K136" s="385"/>
      <c r="L136" s="385"/>
      <c r="M136" s="385"/>
      <c r="N136" s="385"/>
      <c r="O136" s="385"/>
    </row>
    <row r="137" spans="2:15" ht="15" customHeight="1" x14ac:dyDescent="0.25">
      <c r="B137" s="389"/>
      <c r="C137" s="384"/>
      <c r="F137" s="385"/>
      <c r="G137" s="385"/>
      <c r="H137" s="385"/>
      <c r="I137" s="385"/>
      <c r="J137" s="385"/>
      <c r="K137" s="385"/>
      <c r="L137" s="385"/>
      <c r="M137" s="385"/>
      <c r="N137" s="385"/>
      <c r="O137" s="385"/>
    </row>
    <row r="138" spans="2:15" ht="15" customHeight="1" x14ac:dyDescent="0.25">
      <c r="C138" s="384"/>
      <c r="F138" s="385"/>
      <c r="G138" s="385"/>
      <c r="H138" s="385"/>
      <c r="I138" s="385"/>
      <c r="J138" s="385"/>
      <c r="K138" s="385"/>
      <c r="L138" s="385"/>
      <c r="M138" s="385"/>
      <c r="N138" s="385"/>
      <c r="O138" s="385"/>
    </row>
    <row r="139" spans="2:15" ht="15" customHeight="1" x14ac:dyDescent="0.25">
      <c r="B139" s="386"/>
      <c r="C139" s="384"/>
      <c r="F139" s="385"/>
      <c r="G139" s="385"/>
      <c r="H139" s="385"/>
      <c r="I139" s="385"/>
      <c r="J139" s="385"/>
      <c r="K139" s="385"/>
      <c r="L139" s="385"/>
      <c r="M139" s="385"/>
      <c r="N139" s="385"/>
      <c r="O139" s="385"/>
    </row>
    <row r="140" spans="2:15" ht="15" customHeight="1" x14ac:dyDescent="0.25">
      <c r="B140" s="386"/>
      <c r="C140" s="384"/>
      <c r="F140" s="385"/>
      <c r="G140" s="385"/>
      <c r="H140" s="385"/>
      <c r="I140" s="385"/>
      <c r="J140" s="385"/>
      <c r="K140" s="385"/>
      <c r="L140" s="385"/>
      <c r="M140" s="385"/>
      <c r="N140" s="385"/>
      <c r="O140" s="385"/>
    </row>
    <row r="141" spans="2:15" ht="15" customHeight="1" x14ac:dyDescent="0.25">
      <c r="B141" s="386"/>
      <c r="C141" s="384"/>
      <c r="F141" s="385"/>
      <c r="G141" s="385"/>
      <c r="H141" s="385"/>
      <c r="I141" s="385"/>
      <c r="J141" s="385"/>
      <c r="K141" s="385"/>
      <c r="L141" s="385"/>
      <c r="M141" s="385"/>
      <c r="N141" s="385"/>
      <c r="O141" s="385"/>
    </row>
    <row r="142" spans="2:15" ht="15" customHeight="1" x14ac:dyDescent="0.25">
      <c r="B142" s="389"/>
      <c r="C142" s="384"/>
      <c r="F142" s="385"/>
      <c r="G142" s="385"/>
      <c r="H142" s="385"/>
      <c r="I142" s="385"/>
      <c r="J142" s="385"/>
      <c r="K142" s="385"/>
      <c r="L142" s="385"/>
      <c r="M142" s="385"/>
      <c r="N142" s="385"/>
      <c r="O142" s="385"/>
    </row>
    <row r="143" spans="2:15" ht="15" customHeight="1" x14ac:dyDescent="0.25">
      <c r="C143" s="384"/>
      <c r="F143" s="385"/>
      <c r="G143" s="385"/>
      <c r="H143" s="385"/>
      <c r="I143" s="385"/>
      <c r="J143" s="385"/>
      <c r="K143" s="385"/>
      <c r="L143" s="385"/>
      <c r="M143" s="385"/>
      <c r="N143" s="385"/>
      <c r="O143" s="385"/>
    </row>
    <row r="144" spans="2:15" ht="15" customHeight="1" x14ac:dyDescent="0.25">
      <c r="B144" s="386"/>
      <c r="C144" s="384"/>
      <c r="F144" s="385"/>
      <c r="G144" s="385"/>
      <c r="H144" s="385"/>
      <c r="I144" s="385"/>
      <c r="J144" s="385"/>
      <c r="K144" s="385"/>
      <c r="L144" s="385"/>
      <c r="M144" s="385"/>
      <c r="N144" s="385"/>
      <c r="O144" s="385"/>
    </row>
    <row r="145" spans="1:15" ht="15" customHeight="1" x14ac:dyDescent="0.25">
      <c r="B145" s="386"/>
      <c r="C145" s="384"/>
      <c r="F145" s="385"/>
      <c r="G145" s="385"/>
      <c r="H145" s="385"/>
      <c r="I145" s="385"/>
      <c r="J145" s="385"/>
      <c r="K145" s="385"/>
      <c r="L145" s="385"/>
      <c r="M145" s="385"/>
      <c r="N145" s="385"/>
      <c r="O145" s="385"/>
    </row>
    <row r="146" spans="1:15" ht="15" customHeight="1" x14ac:dyDescent="0.25">
      <c r="B146" s="389"/>
      <c r="C146" s="384"/>
      <c r="F146" s="385"/>
      <c r="G146" s="385"/>
      <c r="H146" s="385"/>
      <c r="I146" s="385"/>
      <c r="J146" s="385"/>
      <c r="K146" s="385"/>
      <c r="L146" s="385"/>
      <c r="M146" s="385"/>
      <c r="N146" s="385"/>
      <c r="O146" s="385"/>
    </row>
    <row r="147" spans="1:15" ht="15" customHeight="1" x14ac:dyDescent="0.25">
      <c r="C147" s="384"/>
      <c r="F147" s="385"/>
      <c r="G147" s="385"/>
      <c r="H147" s="385"/>
      <c r="I147" s="385"/>
      <c r="J147" s="385"/>
      <c r="K147" s="385"/>
      <c r="L147" s="385"/>
      <c r="M147" s="385"/>
      <c r="N147" s="385"/>
      <c r="O147" s="385"/>
    </row>
    <row r="148" spans="1:15" ht="15" customHeight="1" x14ac:dyDescent="0.25">
      <c r="B148" s="388"/>
      <c r="C148" s="390"/>
      <c r="F148" s="385"/>
      <c r="G148" s="385"/>
      <c r="H148" s="385"/>
      <c r="I148" s="385"/>
      <c r="J148" s="385"/>
      <c r="K148" s="385"/>
      <c r="L148" s="385"/>
      <c r="M148" s="385"/>
      <c r="N148" s="385"/>
      <c r="O148" s="385"/>
    </row>
    <row r="149" spans="1:15" ht="15" customHeight="1" x14ac:dyDescent="0.25">
      <c r="B149" s="389"/>
      <c r="C149" s="384"/>
      <c r="F149" s="385"/>
      <c r="G149" s="385"/>
      <c r="H149" s="385"/>
      <c r="I149" s="385"/>
      <c r="J149" s="385"/>
      <c r="K149" s="385"/>
      <c r="L149" s="385"/>
      <c r="M149" s="385"/>
      <c r="N149" s="385"/>
      <c r="O149" s="385"/>
    </row>
    <row r="150" spans="1:15" ht="15" customHeight="1" x14ac:dyDescent="0.25">
      <c r="B150" s="389"/>
      <c r="C150" s="384"/>
      <c r="F150" s="385"/>
      <c r="G150" s="385"/>
      <c r="H150" s="385"/>
      <c r="I150" s="385"/>
      <c r="J150" s="385"/>
      <c r="K150" s="385"/>
      <c r="L150" s="385"/>
      <c r="M150" s="385"/>
      <c r="N150" s="385"/>
      <c r="O150" s="385"/>
    </row>
    <row r="151" spans="1:15" ht="15" customHeight="1" x14ac:dyDescent="0.25">
      <c r="C151" s="384"/>
      <c r="F151" s="385"/>
      <c r="G151" s="385"/>
      <c r="H151" s="385"/>
      <c r="I151" s="385"/>
      <c r="J151" s="385"/>
      <c r="K151" s="385"/>
      <c r="L151" s="385"/>
      <c r="M151" s="385"/>
      <c r="N151" s="385"/>
      <c r="O151" s="385"/>
    </row>
    <row r="152" spans="1:15" ht="15" customHeight="1" x14ac:dyDescent="0.25">
      <c r="F152" s="385"/>
      <c r="G152" s="385"/>
      <c r="H152" s="385"/>
      <c r="I152" s="385"/>
      <c r="J152" s="385"/>
      <c r="K152" s="385"/>
      <c r="L152" s="385"/>
      <c r="M152" s="385"/>
      <c r="N152" s="385"/>
      <c r="O152" s="385"/>
    </row>
    <row r="153" spans="1:15" ht="15" customHeight="1" x14ac:dyDescent="0.25">
      <c r="C153" s="390"/>
      <c r="F153" s="391"/>
      <c r="G153" s="391"/>
      <c r="H153" s="385"/>
      <c r="I153" s="385"/>
      <c r="J153" s="385"/>
      <c r="K153" s="385"/>
      <c r="L153" s="385"/>
      <c r="M153" s="385"/>
      <c r="N153" s="385"/>
      <c r="O153" s="385"/>
    </row>
    <row r="154" spans="1:15" ht="15" customHeight="1" x14ac:dyDescent="0.25">
      <c r="C154" s="390"/>
      <c r="F154" s="391"/>
      <c r="G154" s="391"/>
      <c r="H154" s="391"/>
      <c r="I154" s="391"/>
      <c r="J154" s="391"/>
      <c r="K154" s="391"/>
      <c r="L154" s="391"/>
      <c r="M154" s="391"/>
      <c r="N154" s="391"/>
      <c r="O154" s="391"/>
    </row>
    <row r="155" spans="1:15" ht="15" customHeight="1" x14ac:dyDescent="0.25">
      <c r="H155" s="391"/>
      <c r="I155" s="391"/>
      <c r="J155" s="391"/>
      <c r="K155" s="391"/>
      <c r="L155" s="391"/>
      <c r="M155" s="391"/>
      <c r="N155" s="391"/>
      <c r="O155" s="391"/>
    </row>
    <row r="156" spans="1:15" ht="15" customHeight="1" x14ac:dyDescent="0.25">
      <c r="A156" s="381"/>
      <c r="C156" s="381"/>
      <c r="D156" s="382"/>
    </row>
    <row r="157" spans="1:15" ht="15" customHeight="1" x14ac:dyDescent="0.25">
      <c r="B157" s="386"/>
      <c r="C157" s="384"/>
      <c r="D157" s="380"/>
      <c r="F157" s="385"/>
      <c r="G157" s="385"/>
    </row>
    <row r="158" spans="1:15" ht="15" customHeight="1" x14ac:dyDescent="0.25">
      <c r="B158" s="386"/>
      <c r="C158" s="384"/>
      <c r="D158" s="380"/>
      <c r="E158" s="380"/>
      <c r="F158" s="387"/>
      <c r="G158" s="387"/>
      <c r="H158" s="385"/>
      <c r="I158" s="385"/>
      <c r="J158" s="385"/>
      <c r="K158" s="385"/>
      <c r="L158" s="385"/>
      <c r="M158" s="385"/>
      <c r="N158" s="385"/>
      <c r="O158" s="385"/>
    </row>
    <row r="159" spans="1:15" ht="15" customHeight="1" x14ac:dyDescent="0.25">
      <c r="B159" s="386"/>
      <c r="C159" s="384"/>
      <c r="F159" s="385"/>
      <c r="G159" s="385"/>
      <c r="H159" s="387"/>
      <c r="I159" s="387"/>
      <c r="J159" s="387"/>
      <c r="K159" s="387"/>
      <c r="L159" s="387"/>
      <c r="M159" s="387"/>
      <c r="N159" s="387"/>
      <c r="O159" s="387"/>
    </row>
    <row r="160" spans="1:15" ht="15" customHeight="1" x14ac:dyDescent="0.25">
      <c r="B160" s="386"/>
      <c r="C160" s="384"/>
      <c r="F160" s="385"/>
      <c r="G160" s="385"/>
      <c r="H160" s="385"/>
      <c r="I160" s="385"/>
      <c r="J160" s="385"/>
      <c r="K160" s="385"/>
      <c r="L160" s="385"/>
      <c r="M160" s="385"/>
      <c r="N160" s="385"/>
      <c r="O160" s="385"/>
    </row>
    <row r="161" spans="2:15" ht="15" customHeight="1" x14ac:dyDescent="0.25">
      <c r="B161" s="386"/>
      <c r="C161" s="384"/>
      <c r="F161" s="385"/>
      <c r="G161" s="385"/>
      <c r="H161" s="385"/>
      <c r="I161" s="385"/>
      <c r="J161" s="385"/>
      <c r="K161" s="385"/>
      <c r="L161" s="385"/>
      <c r="M161" s="385"/>
      <c r="N161" s="385"/>
      <c r="O161" s="385"/>
    </row>
    <row r="162" spans="2:15" ht="15" customHeight="1" x14ac:dyDescent="0.25">
      <c r="B162" s="386"/>
      <c r="C162" s="384"/>
      <c r="F162" s="385"/>
      <c r="G162" s="385"/>
      <c r="H162" s="385"/>
      <c r="I162" s="385"/>
      <c r="J162" s="385"/>
      <c r="K162" s="385"/>
      <c r="L162" s="385"/>
      <c r="M162" s="385"/>
      <c r="N162" s="385"/>
      <c r="O162" s="385"/>
    </row>
    <row r="163" spans="2:15" ht="15" customHeight="1" x14ac:dyDescent="0.25">
      <c r="B163" s="388"/>
      <c r="C163" s="384"/>
      <c r="F163" s="385"/>
      <c r="G163" s="385"/>
      <c r="H163" s="385"/>
      <c r="I163" s="385"/>
      <c r="J163" s="385"/>
      <c r="K163" s="385"/>
      <c r="L163" s="385"/>
      <c r="M163" s="385"/>
      <c r="N163" s="385"/>
      <c r="O163" s="385"/>
    </row>
    <row r="164" spans="2:15" ht="15" customHeight="1" x14ac:dyDescent="0.25">
      <c r="C164" s="384"/>
      <c r="F164" s="385"/>
      <c r="G164" s="385"/>
      <c r="H164" s="385"/>
      <c r="I164" s="385"/>
      <c r="J164" s="385"/>
      <c r="K164" s="385"/>
      <c r="L164" s="385"/>
      <c r="M164" s="385"/>
      <c r="N164" s="385"/>
      <c r="O164" s="385"/>
    </row>
    <row r="165" spans="2:15" ht="15" customHeight="1" x14ac:dyDescent="0.25">
      <c r="B165" s="386"/>
      <c r="C165" s="384"/>
      <c r="F165" s="385"/>
      <c r="G165" s="385"/>
      <c r="H165" s="385"/>
      <c r="I165" s="385"/>
      <c r="J165" s="385"/>
      <c r="K165" s="385"/>
      <c r="L165" s="385"/>
      <c r="M165" s="385"/>
      <c r="N165" s="385"/>
      <c r="O165" s="385"/>
    </row>
    <row r="166" spans="2:15" ht="15" customHeight="1" x14ac:dyDescent="0.25">
      <c r="B166" s="386"/>
      <c r="C166" s="384"/>
      <c r="F166" s="385"/>
      <c r="G166" s="385"/>
      <c r="H166" s="385"/>
      <c r="I166" s="385"/>
      <c r="J166" s="385"/>
      <c r="K166" s="385"/>
      <c r="L166" s="385"/>
      <c r="M166" s="385"/>
      <c r="N166" s="385"/>
      <c r="O166" s="385"/>
    </row>
    <row r="167" spans="2:15" ht="15" customHeight="1" x14ac:dyDescent="0.25">
      <c r="B167" s="386"/>
      <c r="C167" s="384"/>
      <c r="F167" s="385"/>
      <c r="G167" s="385"/>
      <c r="H167" s="385"/>
      <c r="I167" s="385"/>
      <c r="J167" s="385"/>
      <c r="K167" s="385"/>
      <c r="L167" s="385"/>
      <c r="M167" s="385"/>
      <c r="N167" s="385"/>
      <c r="O167" s="385"/>
    </row>
    <row r="168" spans="2:15" ht="15" customHeight="1" x14ac:dyDescent="0.25">
      <c r="B168" s="386"/>
      <c r="C168" s="384"/>
      <c r="F168" s="385"/>
      <c r="G168" s="385"/>
      <c r="H168" s="385"/>
      <c r="I168" s="385"/>
      <c r="J168" s="385"/>
      <c r="K168" s="385"/>
      <c r="L168" s="385"/>
      <c r="M168" s="385"/>
      <c r="N168" s="385"/>
      <c r="O168" s="385"/>
    </row>
    <row r="169" spans="2:15" ht="15" customHeight="1" x14ac:dyDescent="0.25">
      <c r="C169" s="384"/>
      <c r="F169" s="385"/>
      <c r="G169" s="385"/>
      <c r="H169" s="385"/>
      <c r="I169" s="385"/>
      <c r="J169" s="385"/>
      <c r="K169" s="385"/>
      <c r="L169" s="385"/>
      <c r="M169" s="385"/>
      <c r="N169" s="385"/>
      <c r="O169" s="385"/>
    </row>
    <row r="170" spans="2:15" ht="15" customHeight="1" x14ac:dyDescent="0.25">
      <c r="B170" s="386"/>
      <c r="C170" s="384"/>
      <c r="F170" s="385"/>
      <c r="G170" s="385"/>
      <c r="H170" s="385"/>
      <c r="I170" s="385"/>
      <c r="J170" s="385"/>
      <c r="K170" s="385"/>
      <c r="L170" s="385"/>
      <c r="M170" s="385"/>
      <c r="N170" s="385"/>
      <c r="O170" s="385"/>
    </row>
    <row r="171" spans="2:15" ht="15" customHeight="1" x14ac:dyDescent="0.25">
      <c r="B171" s="386"/>
      <c r="C171" s="384"/>
      <c r="F171" s="385"/>
      <c r="G171" s="385"/>
      <c r="H171" s="385"/>
      <c r="I171" s="385"/>
      <c r="J171" s="385"/>
      <c r="K171" s="385"/>
      <c r="L171" s="385"/>
      <c r="M171" s="385"/>
      <c r="N171" s="385"/>
      <c r="O171" s="385"/>
    </row>
    <row r="172" spans="2:15" ht="15" customHeight="1" x14ac:dyDescent="0.25">
      <c r="B172" s="386"/>
      <c r="C172" s="384"/>
      <c r="F172" s="385"/>
      <c r="G172" s="385"/>
      <c r="H172" s="385"/>
      <c r="I172" s="385"/>
      <c r="J172" s="385"/>
      <c r="K172" s="385"/>
      <c r="L172" s="385"/>
      <c r="M172" s="385"/>
      <c r="N172" s="385"/>
      <c r="O172" s="385"/>
    </row>
    <row r="173" spans="2:15" ht="15" customHeight="1" x14ac:dyDescent="0.25">
      <c r="B173" s="388"/>
      <c r="C173" s="384"/>
      <c r="F173" s="385"/>
      <c r="G173" s="385"/>
      <c r="H173" s="385"/>
      <c r="I173" s="385"/>
      <c r="J173" s="385"/>
      <c r="K173" s="385"/>
      <c r="L173" s="385"/>
      <c r="M173" s="385"/>
      <c r="N173" s="385"/>
      <c r="O173" s="385"/>
    </row>
    <row r="174" spans="2:15" ht="15" customHeight="1" x14ac:dyDescent="0.25">
      <c r="B174" s="386"/>
      <c r="C174" s="384"/>
      <c r="F174" s="385"/>
      <c r="G174" s="385"/>
      <c r="H174" s="385"/>
      <c r="I174" s="385"/>
      <c r="J174" s="385"/>
      <c r="K174" s="385"/>
      <c r="L174" s="385"/>
      <c r="M174" s="385"/>
      <c r="N174" s="385"/>
      <c r="O174" s="385"/>
    </row>
    <row r="175" spans="2:15" ht="15" customHeight="1" x14ac:dyDescent="0.25">
      <c r="B175" s="386"/>
      <c r="C175" s="384"/>
      <c r="F175" s="385"/>
      <c r="G175" s="385"/>
      <c r="H175" s="385"/>
      <c r="I175" s="385"/>
      <c r="J175" s="385"/>
      <c r="K175" s="385"/>
      <c r="L175" s="385"/>
      <c r="M175" s="385"/>
      <c r="N175" s="385"/>
      <c r="O175" s="385"/>
    </row>
    <row r="176" spans="2:15" ht="15" customHeight="1" x14ac:dyDescent="0.25">
      <c r="B176" s="386"/>
      <c r="C176" s="384"/>
      <c r="F176" s="385"/>
      <c r="G176" s="385"/>
      <c r="H176" s="385"/>
      <c r="I176" s="385"/>
      <c r="J176" s="385"/>
      <c r="K176" s="385"/>
      <c r="L176" s="385"/>
      <c r="M176" s="385"/>
      <c r="N176" s="385"/>
      <c r="O176" s="385"/>
    </row>
    <row r="177" spans="2:15" ht="15" customHeight="1" x14ac:dyDescent="0.25">
      <c r="B177" s="386"/>
      <c r="C177" s="384"/>
      <c r="F177" s="385"/>
      <c r="G177" s="385"/>
      <c r="H177" s="385"/>
      <c r="I177" s="385"/>
      <c r="J177" s="385"/>
      <c r="K177" s="385"/>
      <c r="L177" s="385"/>
      <c r="M177" s="385"/>
      <c r="N177" s="385"/>
      <c r="O177" s="385"/>
    </row>
    <row r="178" spans="2:15" ht="15" customHeight="1" x14ac:dyDescent="0.25">
      <c r="B178" s="386"/>
      <c r="C178" s="384"/>
      <c r="F178" s="385"/>
      <c r="G178" s="385"/>
      <c r="H178" s="385"/>
      <c r="I178" s="385"/>
      <c r="J178" s="385"/>
      <c r="K178" s="385"/>
      <c r="L178" s="385"/>
      <c r="M178" s="385"/>
      <c r="N178" s="385"/>
      <c r="O178" s="385"/>
    </row>
    <row r="179" spans="2:15" ht="15" customHeight="1" x14ac:dyDescent="0.25">
      <c r="B179" s="386"/>
      <c r="C179" s="384"/>
      <c r="F179" s="385"/>
      <c r="G179" s="385"/>
      <c r="H179" s="385"/>
      <c r="I179" s="385"/>
      <c r="J179" s="385"/>
      <c r="K179" s="385"/>
      <c r="L179" s="385"/>
      <c r="M179" s="385"/>
      <c r="N179" s="385"/>
      <c r="O179" s="385"/>
    </row>
    <row r="180" spans="2:15" ht="15" customHeight="1" x14ac:dyDescent="0.25">
      <c r="B180" s="386"/>
      <c r="C180" s="384"/>
      <c r="F180" s="385"/>
      <c r="G180" s="385"/>
      <c r="H180" s="385"/>
      <c r="I180" s="385"/>
      <c r="J180" s="385"/>
      <c r="K180" s="385"/>
      <c r="L180" s="385"/>
      <c r="M180" s="385"/>
      <c r="N180" s="385"/>
      <c r="O180" s="385"/>
    </row>
    <row r="181" spans="2:15" ht="15" customHeight="1" x14ac:dyDescent="0.25">
      <c r="B181" s="386"/>
      <c r="C181" s="384"/>
      <c r="F181" s="385"/>
      <c r="G181" s="385"/>
      <c r="H181" s="385"/>
      <c r="I181" s="385"/>
      <c r="J181" s="385"/>
      <c r="K181" s="385"/>
      <c r="L181" s="385"/>
      <c r="M181" s="385"/>
      <c r="N181" s="385"/>
      <c r="O181" s="385"/>
    </row>
    <row r="182" spans="2:15" ht="15" customHeight="1" x14ac:dyDescent="0.25">
      <c r="B182" s="389"/>
      <c r="C182" s="384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2:15" ht="15" customHeight="1" x14ac:dyDescent="0.25">
      <c r="C183" s="384"/>
      <c r="F183" s="385"/>
      <c r="G183" s="385"/>
      <c r="H183" s="385"/>
      <c r="I183" s="385"/>
      <c r="J183" s="385"/>
      <c r="K183" s="385"/>
      <c r="L183" s="385"/>
      <c r="M183" s="385"/>
      <c r="N183" s="385"/>
      <c r="O183" s="385"/>
    </row>
    <row r="184" spans="2:15" ht="15" customHeight="1" x14ac:dyDescent="0.25">
      <c r="B184" s="389"/>
      <c r="C184" s="384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</row>
    <row r="185" spans="2:15" ht="15" customHeight="1" x14ac:dyDescent="0.25">
      <c r="C185" s="384"/>
      <c r="F185" s="385"/>
      <c r="G185" s="385"/>
      <c r="H185" s="385"/>
      <c r="I185" s="385"/>
      <c r="J185" s="385"/>
      <c r="K185" s="385"/>
      <c r="L185" s="385"/>
      <c r="M185" s="385"/>
      <c r="N185" s="385"/>
      <c r="O185" s="385"/>
    </row>
    <row r="186" spans="2:15" ht="15" customHeight="1" x14ac:dyDescent="0.25">
      <c r="B186" s="386"/>
      <c r="C186" s="384"/>
      <c r="F186" s="385"/>
      <c r="G186" s="385"/>
      <c r="H186" s="385"/>
      <c r="I186" s="385"/>
      <c r="J186" s="385"/>
      <c r="K186" s="385"/>
      <c r="L186" s="385"/>
      <c r="M186" s="385"/>
      <c r="N186" s="385"/>
      <c r="O186" s="385"/>
    </row>
    <row r="187" spans="2:15" ht="15" customHeight="1" x14ac:dyDescent="0.25">
      <c r="B187" s="386"/>
      <c r="C187" s="384"/>
      <c r="F187" s="385"/>
      <c r="G187" s="385"/>
      <c r="H187" s="385"/>
      <c r="I187" s="385"/>
      <c r="J187" s="385"/>
      <c r="K187" s="385"/>
      <c r="L187" s="385"/>
      <c r="M187" s="385"/>
      <c r="N187" s="385"/>
      <c r="O187" s="385"/>
    </row>
    <row r="188" spans="2:15" ht="15" customHeight="1" x14ac:dyDescent="0.25">
      <c r="B188" s="386"/>
      <c r="C188" s="384"/>
      <c r="F188" s="385"/>
      <c r="G188" s="385"/>
      <c r="H188" s="385"/>
      <c r="I188" s="385"/>
      <c r="J188" s="385"/>
      <c r="K188" s="385"/>
      <c r="L188" s="385"/>
      <c r="M188" s="385"/>
      <c r="N188" s="385"/>
      <c r="O188" s="385"/>
    </row>
    <row r="189" spans="2:15" ht="15" customHeight="1" x14ac:dyDescent="0.25">
      <c r="B189" s="389"/>
      <c r="C189" s="384"/>
      <c r="F189" s="385"/>
      <c r="G189" s="385"/>
      <c r="H189" s="385"/>
      <c r="I189" s="385"/>
      <c r="J189" s="385"/>
      <c r="K189" s="385"/>
      <c r="L189" s="385"/>
      <c r="M189" s="385"/>
      <c r="N189" s="385"/>
      <c r="O189" s="385"/>
    </row>
    <row r="190" spans="2:15" ht="15" customHeight="1" x14ac:dyDescent="0.25">
      <c r="C190" s="384"/>
      <c r="F190" s="385"/>
      <c r="G190" s="385"/>
      <c r="H190" s="385"/>
      <c r="I190" s="385"/>
      <c r="J190" s="385"/>
      <c r="K190" s="385"/>
      <c r="L190" s="385"/>
      <c r="M190" s="385"/>
      <c r="N190" s="385"/>
      <c r="O190" s="385"/>
    </row>
    <row r="191" spans="2:15" ht="15" customHeight="1" x14ac:dyDescent="0.25">
      <c r="B191" s="386"/>
      <c r="C191" s="384"/>
      <c r="F191" s="385"/>
      <c r="G191" s="385"/>
      <c r="H191" s="385"/>
      <c r="I191" s="385"/>
      <c r="J191" s="385"/>
      <c r="K191" s="385"/>
      <c r="L191" s="385"/>
      <c r="M191" s="385"/>
      <c r="N191" s="385"/>
      <c r="O191" s="385"/>
    </row>
    <row r="192" spans="2:15" ht="15" customHeight="1" x14ac:dyDescent="0.25">
      <c r="B192" s="386"/>
      <c r="C192" s="384"/>
      <c r="F192" s="385"/>
      <c r="G192" s="385"/>
      <c r="H192" s="385"/>
      <c r="I192" s="385"/>
      <c r="J192" s="385"/>
      <c r="K192" s="385"/>
      <c r="L192" s="385"/>
      <c r="M192" s="385"/>
      <c r="N192" s="385"/>
      <c r="O192" s="385"/>
    </row>
    <row r="193" spans="1:15" ht="15" customHeight="1" x14ac:dyDescent="0.25">
      <c r="B193" s="389"/>
      <c r="C193" s="384"/>
      <c r="F193" s="385"/>
      <c r="G193" s="385"/>
      <c r="H193" s="385"/>
      <c r="I193" s="385"/>
      <c r="J193" s="385"/>
      <c r="K193" s="385"/>
      <c r="L193" s="385"/>
      <c r="M193" s="385"/>
      <c r="N193" s="385"/>
      <c r="O193" s="385"/>
    </row>
    <row r="194" spans="1:15" ht="15" customHeight="1" x14ac:dyDescent="0.25">
      <c r="C194" s="384"/>
      <c r="F194" s="385"/>
      <c r="G194" s="385"/>
      <c r="H194" s="385"/>
      <c r="I194" s="385"/>
      <c r="J194" s="385"/>
      <c r="K194" s="385"/>
      <c r="L194" s="385"/>
      <c r="M194" s="385"/>
      <c r="N194" s="385"/>
      <c r="O194" s="385"/>
    </row>
    <row r="195" spans="1:15" ht="15" customHeight="1" x14ac:dyDescent="0.25">
      <c r="B195" s="388"/>
      <c r="C195" s="390"/>
      <c r="F195" s="385"/>
      <c r="G195" s="385"/>
      <c r="H195" s="385"/>
      <c r="I195" s="385"/>
      <c r="J195" s="385"/>
      <c r="K195" s="385"/>
      <c r="L195" s="385"/>
      <c r="M195" s="385"/>
      <c r="N195" s="385"/>
      <c r="O195" s="385"/>
    </row>
    <row r="196" spans="1:15" ht="15" customHeight="1" x14ac:dyDescent="0.25">
      <c r="B196" s="389"/>
      <c r="C196" s="384"/>
      <c r="F196" s="385"/>
      <c r="G196" s="385"/>
      <c r="H196" s="385"/>
      <c r="I196" s="385"/>
      <c r="J196" s="385"/>
      <c r="K196" s="385"/>
      <c r="L196" s="385"/>
      <c r="M196" s="385"/>
      <c r="N196" s="385"/>
      <c r="O196" s="385"/>
    </row>
    <row r="197" spans="1:15" ht="15" customHeight="1" x14ac:dyDescent="0.25">
      <c r="B197" s="389"/>
      <c r="C197" s="384"/>
      <c r="F197" s="385"/>
      <c r="G197" s="385"/>
      <c r="H197" s="385"/>
      <c r="I197" s="385"/>
      <c r="J197" s="385"/>
      <c r="K197" s="385"/>
      <c r="L197" s="385"/>
      <c r="M197" s="385"/>
      <c r="N197" s="385"/>
      <c r="O197" s="385"/>
    </row>
    <row r="198" spans="1:15" ht="15" customHeight="1" x14ac:dyDescent="0.25">
      <c r="C198" s="390"/>
      <c r="F198" s="385"/>
      <c r="G198" s="385"/>
      <c r="H198" s="385"/>
      <c r="I198" s="385"/>
      <c r="J198" s="385"/>
      <c r="K198" s="385"/>
      <c r="L198" s="385"/>
      <c r="M198" s="385"/>
      <c r="N198" s="385"/>
      <c r="O198" s="385"/>
    </row>
    <row r="199" spans="1:15" ht="15" customHeight="1" x14ac:dyDescent="0.25">
      <c r="F199" s="385"/>
      <c r="G199" s="385"/>
      <c r="H199" s="385"/>
      <c r="I199" s="385"/>
      <c r="J199" s="385"/>
      <c r="K199" s="385"/>
      <c r="L199" s="385"/>
      <c r="M199" s="385"/>
      <c r="N199" s="385"/>
      <c r="O199" s="385"/>
    </row>
    <row r="200" spans="1:15" ht="15" customHeight="1" x14ac:dyDescent="0.25">
      <c r="H200" s="385"/>
      <c r="I200" s="385"/>
      <c r="J200" s="385"/>
      <c r="K200" s="385"/>
      <c r="L200" s="385"/>
      <c r="M200" s="385"/>
      <c r="N200" s="385"/>
      <c r="O200" s="385"/>
    </row>
    <row r="201" spans="1:15" ht="15" customHeight="1" x14ac:dyDescent="0.25">
      <c r="M201" s="391"/>
      <c r="N201" s="391"/>
      <c r="O201" s="391"/>
    </row>
    <row r="202" spans="1:15" ht="15" customHeight="1" x14ac:dyDescent="0.25">
      <c r="A202" s="381"/>
      <c r="C202" s="381"/>
      <c r="D202" s="382"/>
    </row>
    <row r="203" spans="1:15" ht="15" customHeight="1" x14ac:dyDescent="0.25">
      <c r="B203" s="386"/>
      <c r="C203" s="384"/>
      <c r="D203" s="380"/>
      <c r="F203" s="385"/>
      <c r="G203" s="385"/>
    </row>
    <row r="204" spans="1:15" ht="15" customHeight="1" x14ac:dyDescent="0.25">
      <c r="B204" s="386"/>
      <c r="C204" s="384"/>
      <c r="D204" s="380"/>
      <c r="E204" s="380"/>
      <c r="F204" s="387"/>
      <c r="G204" s="387"/>
      <c r="H204" s="385"/>
      <c r="I204" s="385"/>
      <c r="J204" s="385"/>
      <c r="K204" s="385"/>
      <c r="L204" s="385"/>
      <c r="M204" s="385"/>
      <c r="N204" s="385"/>
      <c r="O204" s="385"/>
    </row>
    <row r="205" spans="1:15" ht="15" customHeight="1" x14ac:dyDescent="0.25">
      <c r="B205" s="386"/>
      <c r="C205" s="384"/>
      <c r="F205" s="385"/>
      <c r="G205" s="385"/>
      <c r="H205" s="387"/>
      <c r="I205" s="387"/>
      <c r="J205" s="387"/>
      <c r="K205" s="387"/>
      <c r="L205" s="387"/>
      <c r="M205" s="387"/>
      <c r="N205" s="387"/>
      <c r="O205" s="387"/>
    </row>
    <row r="206" spans="1:15" ht="15" customHeight="1" x14ac:dyDescent="0.25">
      <c r="B206" s="386"/>
      <c r="C206" s="384"/>
      <c r="F206" s="385"/>
      <c r="G206" s="385"/>
      <c r="H206" s="385"/>
      <c r="I206" s="385"/>
      <c r="J206" s="385"/>
      <c r="K206" s="385"/>
      <c r="L206" s="385"/>
      <c r="M206" s="385"/>
      <c r="N206" s="385"/>
      <c r="O206" s="385"/>
    </row>
    <row r="207" spans="1:15" ht="15" customHeight="1" x14ac:dyDescent="0.25">
      <c r="B207" s="386"/>
      <c r="C207" s="384"/>
      <c r="F207" s="385"/>
      <c r="G207" s="385"/>
      <c r="H207" s="385"/>
      <c r="I207" s="385"/>
      <c r="J207" s="385"/>
      <c r="K207" s="385"/>
      <c r="L207" s="385"/>
      <c r="M207" s="385"/>
      <c r="N207" s="385"/>
      <c r="O207" s="385"/>
    </row>
    <row r="208" spans="1:15" ht="15" customHeight="1" x14ac:dyDescent="0.25">
      <c r="B208" s="386"/>
      <c r="C208" s="384"/>
      <c r="F208" s="385"/>
      <c r="G208" s="385"/>
      <c r="H208" s="385"/>
      <c r="I208" s="385"/>
      <c r="J208" s="385"/>
      <c r="K208" s="385"/>
      <c r="L208" s="385"/>
      <c r="M208" s="385"/>
      <c r="N208" s="385"/>
      <c r="O208" s="385"/>
    </row>
    <row r="209" spans="2:15" ht="15" customHeight="1" x14ac:dyDescent="0.25">
      <c r="B209" s="388"/>
      <c r="C209" s="384"/>
      <c r="F209" s="385"/>
      <c r="G209" s="385"/>
      <c r="H209" s="385"/>
      <c r="I209" s="385"/>
      <c r="J209" s="385"/>
      <c r="K209" s="385"/>
      <c r="L209" s="385"/>
      <c r="M209" s="385"/>
      <c r="N209" s="385"/>
      <c r="O209" s="385"/>
    </row>
    <row r="210" spans="2:15" ht="15" customHeight="1" x14ac:dyDescent="0.25">
      <c r="C210" s="384"/>
      <c r="F210" s="385"/>
      <c r="G210" s="385"/>
      <c r="H210" s="385"/>
      <c r="I210" s="385"/>
      <c r="J210" s="385"/>
      <c r="K210" s="385"/>
      <c r="L210" s="385"/>
      <c r="M210" s="385"/>
      <c r="N210" s="385"/>
      <c r="O210" s="385"/>
    </row>
    <row r="211" spans="2:15" ht="15" customHeight="1" x14ac:dyDescent="0.25">
      <c r="B211" s="386"/>
      <c r="C211" s="384"/>
      <c r="F211" s="385"/>
      <c r="G211" s="385"/>
      <c r="H211" s="385"/>
      <c r="I211" s="385"/>
      <c r="J211" s="385"/>
      <c r="K211" s="385"/>
      <c r="L211" s="385"/>
      <c r="M211" s="385"/>
      <c r="N211" s="385"/>
      <c r="O211" s="385"/>
    </row>
    <row r="212" spans="2:15" ht="15" customHeight="1" x14ac:dyDescent="0.25">
      <c r="B212" s="386"/>
      <c r="C212" s="384"/>
      <c r="F212" s="385"/>
      <c r="G212" s="385"/>
      <c r="H212" s="385"/>
      <c r="I212" s="385"/>
      <c r="J212" s="385"/>
      <c r="K212" s="385"/>
      <c r="L212" s="385"/>
      <c r="M212" s="385"/>
      <c r="N212" s="385"/>
      <c r="O212" s="385"/>
    </row>
    <row r="213" spans="2:15" ht="15" customHeight="1" x14ac:dyDescent="0.25">
      <c r="B213" s="386"/>
      <c r="C213" s="384"/>
      <c r="F213" s="385"/>
      <c r="G213" s="385"/>
      <c r="H213" s="385"/>
      <c r="I213" s="385"/>
      <c r="J213" s="385"/>
      <c r="K213" s="385"/>
      <c r="L213" s="385"/>
      <c r="M213" s="385"/>
      <c r="N213" s="385"/>
      <c r="O213" s="385"/>
    </row>
    <row r="214" spans="2:15" ht="15" customHeight="1" x14ac:dyDescent="0.25">
      <c r="B214" s="386"/>
      <c r="C214" s="384"/>
      <c r="F214" s="385"/>
      <c r="G214" s="385"/>
      <c r="H214" s="385"/>
      <c r="I214" s="385"/>
      <c r="J214" s="385"/>
      <c r="K214" s="385"/>
      <c r="L214" s="385"/>
      <c r="M214" s="385"/>
      <c r="N214" s="385"/>
      <c r="O214" s="385"/>
    </row>
    <row r="215" spans="2:15" ht="15" customHeight="1" x14ac:dyDescent="0.25">
      <c r="C215" s="384"/>
      <c r="F215" s="385"/>
      <c r="G215" s="385"/>
      <c r="H215" s="385"/>
      <c r="I215" s="385"/>
      <c r="J215" s="385"/>
      <c r="K215" s="385"/>
      <c r="L215" s="385"/>
      <c r="M215" s="385"/>
      <c r="N215" s="385"/>
      <c r="O215" s="385"/>
    </row>
    <row r="216" spans="2:15" ht="15" customHeight="1" x14ac:dyDescent="0.25">
      <c r="B216" s="386"/>
      <c r="C216" s="384"/>
      <c r="F216" s="385"/>
      <c r="G216" s="385"/>
      <c r="H216" s="385"/>
      <c r="I216" s="385"/>
      <c r="J216" s="385"/>
      <c r="K216" s="385"/>
      <c r="L216" s="385"/>
      <c r="M216" s="385"/>
      <c r="N216" s="385"/>
      <c r="O216" s="385"/>
    </row>
    <row r="217" spans="2:15" ht="15" customHeight="1" x14ac:dyDescent="0.25">
      <c r="B217" s="386"/>
      <c r="C217" s="384"/>
      <c r="F217" s="385"/>
      <c r="G217" s="385"/>
      <c r="H217" s="385"/>
      <c r="I217" s="385"/>
      <c r="J217" s="385"/>
      <c r="K217" s="385"/>
      <c r="L217" s="385"/>
      <c r="M217" s="385"/>
      <c r="N217" s="385"/>
      <c r="O217" s="385"/>
    </row>
    <row r="218" spans="2:15" ht="15" customHeight="1" x14ac:dyDescent="0.25">
      <c r="B218" s="386"/>
      <c r="C218" s="384"/>
      <c r="F218" s="385"/>
      <c r="G218" s="385"/>
      <c r="H218" s="385"/>
      <c r="I218" s="385"/>
      <c r="J218" s="385"/>
      <c r="K218" s="385"/>
      <c r="L218" s="385"/>
      <c r="M218" s="385"/>
      <c r="N218" s="385"/>
      <c r="O218" s="385"/>
    </row>
    <row r="219" spans="2:15" ht="15" customHeight="1" x14ac:dyDescent="0.25">
      <c r="B219" s="388"/>
      <c r="C219" s="384"/>
      <c r="F219" s="385"/>
      <c r="G219" s="385"/>
      <c r="H219" s="385"/>
      <c r="I219" s="385"/>
      <c r="J219" s="385"/>
      <c r="K219" s="385"/>
      <c r="L219" s="385"/>
      <c r="M219" s="385"/>
      <c r="N219" s="385"/>
      <c r="O219" s="385"/>
    </row>
    <row r="220" spans="2:15" ht="15" customHeight="1" x14ac:dyDescent="0.25">
      <c r="B220" s="386"/>
      <c r="C220" s="384"/>
      <c r="F220" s="385"/>
      <c r="G220" s="385"/>
      <c r="H220" s="385"/>
      <c r="I220" s="385"/>
      <c r="J220" s="385"/>
      <c r="K220" s="385"/>
      <c r="L220" s="385"/>
      <c r="M220" s="385"/>
      <c r="N220" s="385"/>
      <c r="O220" s="385"/>
    </row>
    <row r="221" spans="2:15" ht="15" customHeight="1" x14ac:dyDescent="0.25">
      <c r="B221" s="386"/>
      <c r="C221" s="384"/>
      <c r="F221" s="385"/>
      <c r="G221" s="385"/>
      <c r="H221" s="385"/>
      <c r="I221" s="385"/>
      <c r="J221" s="385"/>
      <c r="K221" s="385"/>
      <c r="L221" s="385"/>
      <c r="M221" s="385"/>
      <c r="N221" s="385"/>
      <c r="O221" s="385"/>
    </row>
    <row r="222" spans="2:15" ht="15" customHeight="1" x14ac:dyDescent="0.25">
      <c r="B222" s="386"/>
      <c r="C222" s="384"/>
      <c r="F222" s="385"/>
      <c r="G222" s="385"/>
      <c r="H222" s="385"/>
      <c r="I222" s="385"/>
      <c r="J222" s="385"/>
      <c r="K222" s="385"/>
      <c r="L222" s="385"/>
      <c r="M222" s="385"/>
      <c r="N222" s="385"/>
      <c r="O222" s="385"/>
    </row>
    <row r="223" spans="2:15" ht="15" customHeight="1" x14ac:dyDescent="0.25">
      <c r="B223" s="386"/>
      <c r="C223" s="384"/>
      <c r="F223" s="385"/>
      <c r="G223" s="385"/>
      <c r="H223" s="385"/>
      <c r="I223" s="385"/>
      <c r="J223" s="385"/>
      <c r="K223" s="385"/>
      <c r="L223" s="385"/>
      <c r="M223" s="385"/>
      <c r="N223" s="385"/>
      <c r="O223" s="385"/>
    </row>
    <row r="224" spans="2:15" ht="15" customHeight="1" x14ac:dyDescent="0.25">
      <c r="B224" s="386"/>
      <c r="C224" s="384"/>
      <c r="F224" s="385"/>
      <c r="G224" s="385"/>
      <c r="H224" s="385"/>
      <c r="I224" s="385"/>
      <c r="J224" s="385"/>
      <c r="K224" s="385"/>
      <c r="L224" s="385"/>
      <c r="M224" s="385"/>
      <c r="N224" s="385"/>
      <c r="O224" s="385"/>
    </row>
    <row r="225" spans="2:15" ht="15" customHeight="1" x14ac:dyDescent="0.25">
      <c r="B225" s="386"/>
      <c r="C225" s="384"/>
      <c r="F225" s="385"/>
      <c r="G225" s="385"/>
      <c r="H225" s="385"/>
      <c r="I225" s="385"/>
      <c r="J225" s="385"/>
      <c r="K225" s="385"/>
      <c r="L225" s="385"/>
      <c r="M225" s="385"/>
      <c r="N225" s="385"/>
      <c r="O225" s="385"/>
    </row>
    <row r="226" spans="2:15" ht="15" customHeight="1" x14ac:dyDescent="0.25">
      <c r="B226" s="386"/>
      <c r="C226" s="384"/>
      <c r="F226" s="385"/>
      <c r="G226" s="385"/>
      <c r="H226" s="385"/>
      <c r="I226" s="385"/>
      <c r="J226" s="385"/>
      <c r="K226" s="385"/>
      <c r="L226" s="385"/>
      <c r="M226" s="385"/>
      <c r="N226" s="385"/>
      <c r="O226" s="385"/>
    </row>
    <row r="227" spans="2:15" ht="15" customHeight="1" x14ac:dyDescent="0.25">
      <c r="B227" s="386"/>
      <c r="C227" s="384"/>
      <c r="F227" s="385"/>
      <c r="G227" s="385"/>
      <c r="H227" s="385"/>
      <c r="I227" s="385"/>
      <c r="J227" s="385"/>
      <c r="K227" s="385"/>
      <c r="L227" s="385"/>
      <c r="M227" s="385"/>
      <c r="N227" s="385"/>
      <c r="O227" s="385"/>
    </row>
    <row r="228" spans="2:15" ht="15" customHeight="1" x14ac:dyDescent="0.25">
      <c r="B228" s="389"/>
      <c r="C228" s="384"/>
      <c r="F228" s="385"/>
      <c r="G228" s="385"/>
      <c r="H228" s="385"/>
      <c r="I228" s="385"/>
      <c r="J228" s="385"/>
      <c r="K228" s="385"/>
      <c r="L228" s="385"/>
      <c r="M228" s="385"/>
      <c r="N228" s="385"/>
      <c r="O228" s="385"/>
    </row>
    <row r="229" spans="2:15" ht="15" customHeight="1" x14ac:dyDescent="0.25">
      <c r="C229" s="384"/>
      <c r="F229" s="385"/>
      <c r="G229" s="385"/>
      <c r="H229" s="385"/>
      <c r="I229" s="385"/>
      <c r="J229" s="385"/>
      <c r="K229" s="385"/>
      <c r="L229" s="385"/>
      <c r="M229" s="385"/>
      <c r="N229" s="385"/>
      <c r="O229" s="385"/>
    </row>
    <row r="230" spans="2:15" ht="15" customHeight="1" x14ac:dyDescent="0.25">
      <c r="B230" s="389"/>
      <c r="C230" s="384"/>
      <c r="F230" s="385"/>
      <c r="G230" s="385"/>
      <c r="H230" s="385"/>
      <c r="I230" s="385"/>
      <c r="J230" s="385"/>
      <c r="K230" s="385"/>
      <c r="L230" s="385"/>
      <c r="M230" s="385"/>
      <c r="N230" s="385"/>
      <c r="O230" s="385"/>
    </row>
    <row r="231" spans="2:15" ht="15" customHeight="1" x14ac:dyDescent="0.25">
      <c r="C231" s="384"/>
      <c r="F231" s="385"/>
      <c r="G231" s="385"/>
      <c r="H231" s="385"/>
      <c r="I231" s="385"/>
      <c r="J231" s="385"/>
      <c r="K231" s="385"/>
      <c r="L231" s="385"/>
      <c r="M231" s="385"/>
      <c r="N231" s="385"/>
      <c r="O231" s="385"/>
    </row>
    <row r="232" spans="2:15" ht="15" customHeight="1" x14ac:dyDescent="0.25">
      <c r="B232" s="386"/>
      <c r="C232" s="384"/>
      <c r="F232" s="385"/>
      <c r="G232" s="385"/>
      <c r="H232" s="385"/>
      <c r="I232" s="385"/>
      <c r="J232" s="385"/>
      <c r="K232" s="385"/>
      <c r="L232" s="385"/>
      <c r="M232" s="385"/>
      <c r="N232" s="385"/>
      <c r="O232" s="385"/>
    </row>
    <row r="233" spans="2:15" ht="15" customHeight="1" x14ac:dyDescent="0.25">
      <c r="B233" s="386"/>
      <c r="C233" s="384"/>
      <c r="F233" s="385"/>
      <c r="G233" s="385"/>
      <c r="H233" s="385"/>
      <c r="I233" s="385"/>
      <c r="J233" s="385"/>
      <c r="K233" s="385"/>
      <c r="L233" s="385"/>
      <c r="M233" s="385"/>
      <c r="N233" s="385"/>
      <c r="O233" s="385"/>
    </row>
    <row r="234" spans="2:15" ht="15" customHeight="1" x14ac:dyDescent="0.25">
      <c r="B234" s="386"/>
      <c r="C234" s="384"/>
      <c r="F234" s="385"/>
      <c r="G234" s="385"/>
      <c r="H234" s="385"/>
      <c r="I234" s="385"/>
      <c r="J234" s="385"/>
      <c r="K234" s="385"/>
      <c r="L234" s="385"/>
      <c r="M234" s="385"/>
      <c r="N234" s="385"/>
      <c r="O234" s="385"/>
    </row>
    <row r="235" spans="2:15" ht="15" customHeight="1" x14ac:dyDescent="0.25">
      <c r="B235" s="389"/>
      <c r="C235" s="384"/>
      <c r="F235" s="385"/>
      <c r="G235" s="385"/>
      <c r="H235" s="385"/>
      <c r="I235" s="385"/>
      <c r="J235" s="385"/>
      <c r="K235" s="385"/>
      <c r="L235" s="385"/>
      <c r="M235" s="385"/>
      <c r="N235" s="385"/>
      <c r="O235" s="385"/>
    </row>
    <row r="236" spans="2:15" ht="15" customHeight="1" x14ac:dyDescent="0.25">
      <c r="C236" s="384"/>
      <c r="F236" s="385"/>
      <c r="G236" s="385"/>
      <c r="H236" s="385"/>
      <c r="I236" s="385"/>
      <c r="J236" s="385"/>
      <c r="K236" s="385"/>
      <c r="L236" s="385"/>
      <c r="M236" s="385"/>
      <c r="N236" s="385"/>
      <c r="O236" s="385"/>
    </row>
    <row r="237" spans="2:15" ht="15" customHeight="1" x14ac:dyDescent="0.25">
      <c r="B237" s="386"/>
      <c r="C237" s="384"/>
      <c r="F237" s="385"/>
      <c r="G237" s="385"/>
      <c r="H237" s="385"/>
      <c r="I237" s="385"/>
      <c r="J237" s="385"/>
      <c r="K237" s="385"/>
      <c r="L237" s="385"/>
      <c r="M237" s="385"/>
      <c r="N237" s="385"/>
      <c r="O237" s="385"/>
    </row>
    <row r="238" spans="2:15" ht="15" customHeight="1" x14ac:dyDescent="0.25">
      <c r="B238" s="386"/>
      <c r="C238" s="384"/>
      <c r="F238" s="385"/>
      <c r="G238" s="385"/>
      <c r="H238" s="385"/>
      <c r="I238" s="385"/>
      <c r="J238" s="385"/>
      <c r="K238" s="385"/>
      <c r="L238" s="385"/>
      <c r="M238" s="385"/>
      <c r="N238" s="385"/>
      <c r="O238" s="385"/>
    </row>
    <row r="239" spans="2:15" ht="15" customHeight="1" x14ac:dyDescent="0.25">
      <c r="B239" s="389"/>
      <c r="C239" s="384"/>
      <c r="F239" s="385"/>
      <c r="G239" s="385"/>
      <c r="H239" s="385"/>
      <c r="I239" s="385"/>
      <c r="J239" s="385"/>
      <c r="K239" s="385"/>
      <c r="L239" s="385"/>
      <c r="M239" s="385"/>
      <c r="N239" s="385"/>
      <c r="O239" s="385"/>
    </row>
    <row r="240" spans="2:15" ht="15" customHeight="1" x14ac:dyDescent="0.25">
      <c r="C240" s="384"/>
      <c r="F240" s="385"/>
      <c r="G240" s="385"/>
      <c r="H240" s="385"/>
      <c r="I240" s="385"/>
      <c r="J240" s="385"/>
      <c r="K240" s="385"/>
      <c r="L240" s="385"/>
      <c r="M240" s="385"/>
      <c r="N240" s="385"/>
      <c r="O240" s="385"/>
    </row>
    <row r="241" spans="1:15" ht="15" customHeight="1" x14ac:dyDescent="0.25">
      <c r="B241" s="388"/>
      <c r="C241" s="390"/>
      <c r="F241" s="385"/>
      <c r="G241" s="385"/>
      <c r="H241" s="385"/>
      <c r="I241" s="385"/>
      <c r="J241" s="385"/>
      <c r="K241" s="385"/>
      <c r="L241" s="385"/>
      <c r="M241" s="385"/>
      <c r="N241" s="385"/>
      <c r="O241" s="385"/>
    </row>
    <row r="242" spans="1:15" ht="15" customHeight="1" x14ac:dyDescent="0.25">
      <c r="B242" s="389"/>
      <c r="C242" s="384"/>
      <c r="F242" s="385"/>
      <c r="G242" s="385"/>
      <c r="H242" s="385"/>
      <c r="I242" s="385"/>
      <c r="J242" s="385"/>
      <c r="K242" s="385"/>
      <c r="L242" s="385"/>
      <c r="M242" s="385"/>
      <c r="N242" s="385"/>
      <c r="O242" s="385"/>
    </row>
    <row r="243" spans="1:15" ht="15" customHeight="1" x14ac:dyDescent="0.25">
      <c r="B243" s="389"/>
      <c r="C243" s="384"/>
      <c r="F243" s="385"/>
      <c r="G243" s="385"/>
      <c r="H243" s="385"/>
      <c r="I243" s="385"/>
      <c r="J243" s="385"/>
      <c r="K243" s="385"/>
      <c r="L243" s="385"/>
      <c r="M243" s="385"/>
      <c r="N243" s="385"/>
      <c r="O243" s="385"/>
    </row>
    <row r="244" spans="1:15" ht="15" customHeight="1" x14ac:dyDescent="0.25">
      <c r="C244" s="390"/>
      <c r="F244" s="385"/>
      <c r="G244" s="385"/>
      <c r="H244" s="385"/>
      <c r="I244" s="385"/>
      <c r="J244" s="385"/>
      <c r="K244" s="385"/>
      <c r="L244" s="385"/>
      <c r="M244" s="385"/>
      <c r="N244" s="385"/>
      <c r="O244" s="385"/>
    </row>
    <row r="245" spans="1:15" ht="15" customHeight="1" x14ac:dyDescent="0.25">
      <c r="F245" s="385"/>
      <c r="G245" s="385"/>
      <c r="H245" s="385"/>
      <c r="I245" s="385"/>
      <c r="J245" s="385"/>
      <c r="K245" s="385"/>
      <c r="L245" s="385"/>
      <c r="M245" s="385"/>
      <c r="N245" s="385"/>
      <c r="O245" s="385"/>
    </row>
    <row r="246" spans="1:15" ht="15" customHeight="1" x14ac:dyDescent="0.25">
      <c r="H246" s="385"/>
      <c r="I246" s="385"/>
      <c r="J246" s="385"/>
      <c r="K246" s="385"/>
      <c r="L246" s="385"/>
      <c r="M246" s="385"/>
      <c r="N246" s="385"/>
      <c r="O246" s="385"/>
    </row>
    <row r="247" spans="1:15" ht="15" customHeight="1" x14ac:dyDescent="0.25">
      <c r="M247" s="391"/>
      <c r="N247" s="391"/>
      <c r="O247" s="391"/>
    </row>
    <row r="248" spans="1:15" ht="15" customHeight="1" x14ac:dyDescent="0.25"/>
    <row r="249" spans="1:15" ht="15" customHeight="1" x14ac:dyDescent="0.25">
      <c r="A249" s="381"/>
      <c r="C249" s="381"/>
      <c r="D249" s="382"/>
    </row>
    <row r="250" spans="1:15" ht="15" customHeight="1" x14ac:dyDescent="0.25">
      <c r="B250" s="386"/>
      <c r="C250" s="384"/>
      <c r="D250" s="380"/>
      <c r="F250" s="385"/>
      <c r="G250" s="385"/>
    </row>
    <row r="251" spans="1:15" ht="15" customHeight="1" x14ac:dyDescent="0.25">
      <c r="B251" s="386"/>
      <c r="C251" s="384"/>
      <c r="D251" s="380"/>
      <c r="E251" s="380"/>
      <c r="F251" s="387"/>
      <c r="G251" s="387"/>
      <c r="H251" s="385"/>
      <c r="I251" s="385"/>
      <c r="J251" s="385"/>
      <c r="K251" s="385"/>
      <c r="L251" s="385"/>
      <c r="M251" s="385"/>
      <c r="N251" s="385"/>
      <c r="O251" s="385"/>
    </row>
    <row r="252" spans="1:15" ht="15" customHeight="1" x14ac:dyDescent="0.25">
      <c r="B252" s="386"/>
      <c r="C252" s="384"/>
      <c r="F252" s="385"/>
      <c r="G252" s="385"/>
      <c r="H252" s="387"/>
      <c r="I252" s="387"/>
      <c r="J252" s="387"/>
      <c r="K252" s="387"/>
      <c r="L252" s="387"/>
      <c r="M252" s="387"/>
      <c r="N252" s="387"/>
      <c r="O252" s="387"/>
    </row>
    <row r="253" spans="1:15" ht="15" customHeight="1" x14ac:dyDescent="0.25">
      <c r="B253" s="386"/>
      <c r="C253" s="384"/>
      <c r="F253" s="385"/>
      <c r="G253" s="385"/>
      <c r="H253" s="385"/>
      <c r="I253" s="385"/>
      <c r="J253" s="385"/>
      <c r="K253" s="385"/>
      <c r="L253" s="385"/>
      <c r="M253" s="385"/>
      <c r="N253" s="385"/>
      <c r="O253" s="385"/>
    </row>
    <row r="254" spans="1:15" ht="15" customHeight="1" x14ac:dyDescent="0.25">
      <c r="B254" s="386"/>
      <c r="C254" s="384"/>
      <c r="F254" s="385"/>
      <c r="G254" s="385"/>
      <c r="H254" s="385"/>
      <c r="I254" s="385"/>
      <c r="J254" s="385"/>
      <c r="K254" s="385"/>
      <c r="L254" s="385"/>
      <c r="M254" s="385"/>
      <c r="N254" s="385"/>
      <c r="O254" s="385"/>
    </row>
    <row r="255" spans="1:15" ht="15" customHeight="1" x14ac:dyDescent="0.25">
      <c r="B255" s="386"/>
      <c r="C255" s="384"/>
      <c r="F255" s="385"/>
      <c r="G255" s="385"/>
      <c r="H255" s="385"/>
      <c r="I255" s="385"/>
      <c r="J255" s="385"/>
      <c r="K255" s="385"/>
      <c r="L255" s="385"/>
      <c r="M255" s="385"/>
      <c r="N255" s="385"/>
      <c r="O255" s="385"/>
    </row>
    <row r="256" spans="1:15" ht="15" customHeight="1" x14ac:dyDescent="0.25">
      <c r="B256" s="388"/>
      <c r="C256" s="384"/>
      <c r="F256" s="385"/>
      <c r="G256" s="385"/>
      <c r="H256" s="385"/>
      <c r="I256" s="385"/>
      <c r="J256" s="385"/>
      <c r="K256" s="385"/>
      <c r="L256" s="385"/>
      <c r="M256" s="385"/>
      <c r="N256" s="385"/>
      <c r="O256" s="385"/>
    </row>
    <row r="257" spans="2:15" ht="15" customHeight="1" x14ac:dyDescent="0.25">
      <c r="C257" s="384"/>
      <c r="F257" s="385"/>
      <c r="G257" s="385"/>
      <c r="H257" s="385"/>
      <c r="I257" s="385"/>
      <c r="J257" s="385"/>
      <c r="K257" s="385"/>
      <c r="L257" s="385"/>
      <c r="M257" s="385"/>
      <c r="N257" s="385"/>
      <c r="O257" s="385"/>
    </row>
    <row r="258" spans="2:15" ht="15" customHeight="1" x14ac:dyDescent="0.25">
      <c r="B258" s="386"/>
      <c r="C258" s="384"/>
      <c r="F258" s="385"/>
      <c r="G258" s="385"/>
      <c r="H258" s="385"/>
      <c r="I258" s="385"/>
      <c r="J258" s="385"/>
      <c r="K258" s="385"/>
      <c r="L258" s="385"/>
      <c r="M258" s="385"/>
      <c r="N258" s="385"/>
      <c r="O258" s="385"/>
    </row>
    <row r="259" spans="2:15" ht="15" customHeight="1" x14ac:dyDescent="0.25">
      <c r="B259" s="386"/>
      <c r="C259" s="384"/>
      <c r="F259" s="385"/>
      <c r="G259" s="385"/>
      <c r="H259" s="385"/>
      <c r="I259" s="385"/>
      <c r="J259" s="385"/>
      <c r="K259" s="385"/>
      <c r="L259" s="385"/>
      <c r="M259" s="385"/>
      <c r="N259" s="385"/>
      <c r="O259" s="385"/>
    </row>
    <row r="260" spans="2:15" ht="15" customHeight="1" x14ac:dyDescent="0.25">
      <c r="B260" s="386"/>
      <c r="C260" s="384"/>
      <c r="F260" s="385"/>
      <c r="G260" s="385"/>
      <c r="H260" s="385"/>
      <c r="I260" s="385"/>
      <c r="J260" s="385"/>
      <c r="K260" s="385"/>
      <c r="L260" s="385"/>
      <c r="M260" s="385"/>
      <c r="N260" s="385"/>
      <c r="O260" s="385"/>
    </row>
    <row r="261" spans="2:15" ht="15" customHeight="1" x14ac:dyDescent="0.25">
      <c r="B261" s="386"/>
      <c r="C261" s="384"/>
      <c r="F261" s="385"/>
      <c r="G261" s="385"/>
      <c r="H261" s="385"/>
      <c r="I261" s="385"/>
      <c r="J261" s="385"/>
      <c r="K261" s="385"/>
      <c r="L261" s="385"/>
      <c r="M261" s="385"/>
      <c r="N261" s="385"/>
      <c r="O261" s="385"/>
    </row>
    <row r="262" spans="2:15" ht="15" customHeight="1" x14ac:dyDescent="0.25">
      <c r="C262" s="384"/>
      <c r="F262" s="385"/>
      <c r="G262" s="385"/>
      <c r="H262" s="385"/>
      <c r="I262" s="385"/>
      <c r="J262" s="385"/>
      <c r="K262" s="385"/>
      <c r="L262" s="385"/>
      <c r="M262" s="385"/>
      <c r="N262" s="385"/>
      <c r="O262" s="385"/>
    </row>
    <row r="263" spans="2:15" ht="15" customHeight="1" x14ac:dyDescent="0.25">
      <c r="B263" s="386"/>
      <c r="C263" s="384"/>
      <c r="F263" s="385"/>
      <c r="G263" s="385"/>
      <c r="H263" s="385"/>
      <c r="I263" s="385"/>
      <c r="J263" s="385"/>
      <c r="K263" s="385"/>
      <c r="L263" s="385"/>
      <c r="M263" s="385"/>
      <c r="N263" s="385"/>
      <c r="O263" s="385"/>
    </row>
    <row r="264" spans="2:15" ht="15" customHeight="1" x14ac:dyDescent="0.25">
      <c r="B264" s="386"/>
      <c r="C264" s="384"/>
      <c r="F264" s="385"/>
      <c r="G264" s="385"/>
      <c r="H264" s="385"/>
      <c r="I264" s="385"/>
      <c r="J264" s="385"/>
      <c r="K264" s="385"/>
      <c r="L264" s="385"/>
      <c r="M264" s="385"/>
      <c r="N264" s="385"/>
      <c r="O264" s="385"/>
    </row>
    <row r="265" spans="2:15" ht="15" customHeight="1" x14ac:dyDescent="0.25">
      <c r="B265" s="386"/>
      <c r="C265" s="384"/>
      <c r="F265" s="385"/>
      <c r="G265" s="385"/>
      <c r="H265" s="385"/>
      <c r="I265" s="385"/>
      <c r="J265" s="385"/>
      <c r="K265" s="385"/>
      <c r="L265" s="385"/>
      <c r="M265" s="385"/>
      <c r="N265" s="385"/>
      <c r="O265" s="385"/>
    </row>
    <row r="266" spans="2:15" ht="15" customHeight="1" x14ac:dyDescent="0.25">
      <c r="B266" s="388"/>
      <c r="C266" s="384"/>
      <c r="F266" s="385"/>
      <c r="G266" s="385"/>
      <c r="H266" s="385"/>
      <c r="I266" s="385"/>
      <c r="J266" s="385"/>
      <c r="K266" s="385"/>
      <c r="L266" s="385"/>
      <c r="M266" s="385"/>
      <c r="N266" s="385"/>
      <c r="O266" s="385"/>
    </row>
    <row r="267" spans="2:15" ht="15" customHeight="1" x14ac:dyDescent="0.25">
      <c r="B267" s="386"/>
      <c r="C267" s="384"/>
      <c r="F267" s="385"/>
      <c r="G267" s="385"/>
      <c r="H267" s="385"/>
      <c r="I267" s="385"/>
      <c r="J267" s="385"/>
      <c r="K267" s="385"/>
      <c r="L267" s="385"/>
      <c r="M267" s="385"/>
      <c r="N267" s="385"/>
      <c r="O267" s="385"/>
    </row>
    <row r="268" spans="2:15" ht="15" customHeight="1" x14ac:dyDescent="0.25">
      <c r="B268" s="386"/>
      <c r="C268" s="384"/>
      <c r="F268" s="385"/>
      <c r="G268" s="385"/>
      <c r="H268" s="385"/>
      <c r="I268" s="385"/>
      <c r="J268" s="385"/>
      <c r="K268" s="385"/>
      <c r="L268" s="385"/>
      <c r="M268" s="385"/>
      <c r="N268" s="385"/>
      <c r="O268" s="385"/>
    </row>
    <row r="269" spans="2:15" ht="15" customHeight="1" x14ac:dyDescent="0.25">
      <c r="B269" s="386"/>
      <c r="C269" s="384"/>
      <c r="F269" s="385"/>
      <c r="G269" s="385"/>
      <c r="H269" s="385"/>
      <c r="I269" s="385"/>
      <c r="J269" s="385"/>
      <c r="K269" s="385"/>
      <c r="L269" s="385"/>
      <c r="M269" s="385"/>
      <c r="N269" s="385"/>
      <c r="O269" s="385"/>
    </row>
    <row r="270" spans="2:15" ht="15" customHeight="1" x14ac:dyDescent="0.25">
      <c r="B270" s="386"/>
      <c r="C270" s="384"/>
      <c r="F270" s="385"/>
      <c r="G270" s="385"/>
      <c r="H270" s="385"/>
      <c r="I270" s="385"/>
      <c r="J270" s="385"/>
      <c r="K270" s="385"/>
      <c r="L270" s="385"/>
      <c r="M270" s="385"/>
      <c r="N270" s="385"/>
      <c r="O270" s="385"/>
    </row>
    <row r="271" spans="2:15" ht="15" customHeight="1" x14ac:dyDescent="0.25">
      <c r="B271" s="386"/>
      <c r="C271" s="384"/>
      <c r="F271" s="385"/>
      <c r="G271" s="385"/>
      <c r="H271" s="385"/>
      <c r="I271" s="385"/>
      <c r="J271" s="385"/>
      <c r="K271" s="385"/>
      <c r="L271" s="385"/>
      <c r="M271" s="385"/>
      <c r="N271" s="385"/>
      <c r="O271" s="385"/>
    </row>
    <row r="272" spans="2:15" ht="15" customHeight="1" x14ac:dyDescent="0.25">
      <c r="B272" s="386"/>
      <c r="C272" s="384"/>
      <c r="F272" s="385"/>
      <c r="G272" s="385"/>
      <c r="H272" s="385"/>
      <c r="I272" s="385"/>
      <c r="J272" s="385"/>
      <c r="K272" s="385"/>
      <c r="L272" s="385"/>
      <c r="M272" s="385"/>
      <c r="N272" s="385"/>
      <c r="O272" s="385"/>
    </row>
    <row r="273" spans="2:15" ht="15" customHeight="1" x14ac:dyDescent="0.25">
      <c r="B273" s="386"/>
      <c r="C273" s="384"/>
      <c r="F273" s="385"/>
      <c r="G273" s="385"/>
      <c r="H273" s="385"/>
      <c r="I273" s="385"/>
      <c r="J273" s="385"/>
      <c r="K273" s="385"/>
      <c r="L273" s="385"/>
      <c r="M273" s="385"/>
      <c r="N273" s="385"/>
      <c r="O273" s="385"/>
    </row>
    <row r="274" spans="2:15" ht="15" customHeight="1" x14ac:dyDescent="0.25">
      <c r="B274" s="386"/>
      <c r="C274" s="384"/>
      <c r="F274" s="385"/>
      <c r="G274" s="385"/>
      <c r="H274" s="385"/>
      <c r="I274" s="385"/>
      <c r="J274" s="385"/>
      <c r="K274" s="385"/>
      <c r="L274" s="385"/>
      <c r="M274" s="385"/>
      <c r="N274" s="385"/>
      <c r="O274" s="385"/>
    </row>
    <row r="275" spans="2:15" ht="15" customHeight="1" x14ac:dyDescent="0.25">
      <c r="B275" s="389"/>
      <c r="C275" s="384"/>
      <c r="F275" s="385"/>
      <c r="G275" s="385"/>
      <c r="H275" s="385"/>
      <c r="I275" s="385"/>
      <c r="J275" s="385"/>
      <c r="K275" s="385"/>
      <c r="L275" s="385"/>
      <c r="M275" s="385"/>
      <c r="N275" s="385"/>
      <c r="O275" s="385"/>
    </row>
    <row r="276" spans="2:15" ht="15" customHeight="1" x14ac:dyDescent="0.25">
      <c r="C276" s="384"/>
      <c r="F276" s="385"/>
      <c r="G276" s="385"/>
      <c r="H276" s="385"/>
      <c r="I276" s="385"/>
      <c r="J276" s="385"/>
      <c r="K276" s="385"/>
      <c r="L276" s="385"/>
      <c r="M276" s="385"/>
      <c r="N276" s="385"/>
      <c r="O276" s="385"/>
    </row>
    <row r="277" spans="2:15" ht="15" customHeight="1" x14ac:dyDescent="0.25">
      <c r="B277" s="389"/>
      <c r="C277" s="384"/>
      <c r="F277" s="385"/>
      <c r="G277" s="385"/>
      <c r="H277" s="385"/>
      <c r="I277" s="385"/>
      <c r="J277" s="385"/>
      <c r="K277" s="385"/>
      <c r="L277" s="385"/>
      <c r="M277" s="385"/>
      <c r="N277" s="385"/>
      <c r="O277" s="385"/>
    </row>
    <row r="278" spans="2:15" ht="15" customHeight="1" x14ac:dyDescent="0.25">
      <c r="C278" s="384"/>
      <c r="F278" s="385"/>
      <c r="G278" s="385"/>
      <c r="H278" s="385"/>
      <c r="I278" s="385"/>
      <c r="J278" s="385"/>
      <c r="K278" s="385"/>
      <c r="L278" s="385"/>
      <c r="M278" s="385"/>
      <c r="N278" s="385"/>
      <c r="O278" s="385"/>
    </row>
    <row r="279" spans="2:15" ht="15" customHeight="1" x14ac:dyDescent="0.25">
      <c r="B279" s="386"/>
      <c r="C279" s="384"/>
      <c r="F279" s="385"/>
      <c r="G279" s="385"/>
      <c r="H279" s="385"/>
      <c r="I279" s="385"/>
      <c r="J279" s="385"/>
      <c r="K279" s="385"/>
      <c r="L279" s="385"/>
      <c r="M279" s="385"/>
      <c r="N279" s="385"/>
      <c r="O279" s="385"/>
    </row>
    <row r="280" spans="2:15" ht="15" customHeight="1" x14ac:dyDescent="0.25">
      <c r="B280" s="386"/>
      <c r="C280" s="384"/>
      <c r="F280" s="385"/>
      <c r="G280" s="385"/>
      <c r="H280" s="385"/>
      <c r="I280" s="385"/>
      <c r="J280" s="385"/>
      <c r="K280" s="385"/>
      <c r="L280" s="385"/>
      <c r="M280" s="385"/>
      <c r="N280" s="385"/>
      <c r="O280" s="385"/>
    </row>
    <row r="281" spans="2:15" ht="15" customHeight="1" x14ac:dyDescent="0.25">
      <c r="B281" s="386"/>
      <c r="C281" s="384"/>
      <c r="F281" s="385"/>
      <c r="G281" s="385"/>
      <c r="H281" s="385"/>
      <c r="I281" s="385"/>
      <c r="J281" s="385"/>
      <c r="K281" s="385"/>
      <c r="L281" s="385"/>
      <c r="M281" s="385"/>
      <c r="N281" s="385"/>
      <c r="O281" s="385"/>
    </row>
    <row r="282" spans="2:15" ht="15" customHeight="1" x14ac:dyDescent="0.25">
      <c r="B282" s="389"/>
      <c r="C282" s="384"/>
      <c r="F282" s="385"/>
      <c r="G282" s="385"/>
      <c r="H282" s="385"/>
      <c r="I282" s="385"/>
      <c r="J282" s="385"/>
      <c r="K282" s="385"/>
      <c r="L282" s="385"/>
      <c r="M282" s="385"/>
      <c r="N282" s="385"/>
      <c r="O282" s="385"/>
    </row>
    <row r="283" spans="2:15" ht="15" customHeight="1" x14ac:dyDescent="0.25">
      <c r="C283" s="384"/>
      <c r="F283" s="385"/>
      <c r="G283" s="385"/>
      <c r="H283" s="385"/>
      <c r="I283" s="385"/>
      <c r="J283" s="385"/>
      <c r="K283" s="385"/>
      <c r="L283" s="385"/>
      <c r="M283" s="385"/>
      <c r="N283" s="385"/>
      <c r="O283" s="385"/>
    </row>
    <row r="284" spans="2:15" ht="15" customHeight="1" x14ac:dyDescent="0.25">
      <c r="B284" s="386"/>
      <c r="C284" s="384"/>
      <c r="F284" s="385"/>
      <c r="G284" s="385"/>
      <c r="H284" s="385"/>
      <c r="I284" s="385"/>
      <c r="J284" s="385"/>
      <c r="K284" s="385"/>
      <c r="L284" s="385"/>
      <c r="M284" s="385"/>
      <c r="N284" s="385"/>
      <c r="O284" s="385"/>
    </row>
    <row r="285" spans="2:15" ht="15" customHeight="1" x14ac:dyDescent="0.25">
      <c r="B285" s="386"/>
      <c r="C285" s="384"/>
      <c r="F285" s="385"/>
      <c r="G285" s="385"/>
      <c r="H285" s="385"/>
      <c r="I285" s="385"/>
      <c r="J285" s="385"/>
      <c r="K285" s="385"/>
      <c r="L285" s="385"/>
      <c r="M285" s="385"/>
      <c r="N285" s="385"/>
      <c r="O285" s="385"/>
    </row>
    <row r="286" spans="2:15" ht="15" customHeight="1" x14ac:dyDescent="0.25">
      <c r="B286" s="389"/>
      <c r="C286" s="384"/>
      <c r="F286" s="385"/>
      <c r="G286" s="385"/>
      <c r="H286" s="385"/>
      <c r="I286" s="385"/>
      <c r="J286" s="385"/>
      <c r="K286" s="385"/>
      <c r="L286" s="385"/>
      <c r="M286" s="385"/>
      <c r="N286" s="385"/>
      <c r="O286" s="385"/>
    </row>
    <row r="287" spans="2:15" ht="15" customHeight="1" x14ac:dyDescent="0.25">
      <c r="C287" s="384"/>
      <c r="F287" s="385"/>
      <c r="G287" s="385"/>
      <c r="H287" s="385"/>
      <c r="I287" s="385"/>
      <c r="J287" s="385"/>
      <c r="K287" s="385"/>
      <c r="L287" s="385"/>
      <c r="M287" s="385"/>
      <c r="N287" s="385"/>
      <c r="O287" s="385"/>
    </row>
    <row r="288" spans="2:15" ht="15" customHeight="1" x14ac:dyDescent="0.25">
      <c r="B288" s="388"/>
      <c r="C288" s="390"/>
      <c r="F288" s="385"/>
      <c r="G288" s="385"/>
      <c r="H288" s="385"/>
      <c r="I288" s="385"/>
      <c r="J288" s="385"/>
      <c r="K288" s="385"/>
      <c r="L288" s="385"/>
      <c r="M288" s="385"/>
      <c r="N288" s="385"/>
      <c r="O288" s="385"/>
    </row>
    <row r="289" spans="2:16" ht="15" customHeight="1" x14ac:dyDescent="0.25">
      <c r="B289" s="389"/>
      <c r="C289" s="384"/>
      <c r="F289" s="385"/>
      <c r="G289" s="385"/>
      <c r="H289" s="385"/>
      <c r="I289" s="385"/>
      <c r="J289" s="385"/>
      <c r="K289" s="385"/>
      <c r="L289" s="385"/>
      <c r="M289" s="385"/>
      <c r="N289" s="385"/>
      <c r="O289" s="385"/>
    </row>
    <row r="290" spans="2:16" ht="15" customHeight="1" x14ac:dyDescent="0.25">
      <c r="B290" s="389"/>
      <c r="C290" s="384"/>
      <c r="F290" s="385"/>
      <c r="G290" s="385"/>
      <c r="H290" s="385"/>
      <c r="I290" s="385"/>
      <c r="J290" s="385"/>
      <c r="K290" s="385"/>
      <c r="L290" s="385"/>
      <c r="M290" s="385"/>
      <c r="N290" s="385"/>
      <c r="O290" s="385"/>
    </row>
    <row r="291" spans="2:16" ht="15" customHeight="1" x14ac:dyDescent="0.25">
      <c r="C291" s="390"/>
      <c r="F291" s="385"/>
      <c r="G291" s="385"/>
      <c r="H291" s="385"/>
      <c r="I291" s="385"/>
      <c r="J291" s="385"/>
      <c r="K291" s="385"/>
      <c r="L291" s="385"/>
      <c r="M291" s="385"/>
      <c r="N291" s="385"/>
      <c r="O291" s="385"/>
    </row>
    <row r="292" spans="2:16" ht="15" customHeight="1" x14ac:dyDescent="0.25">
      <c r="F292" s="385"/>
      <c r="G292" s="385"/>
      <c r="H292" s="385"/>
      <c r="I292" s="385"/>
      <c r="J292" s="385"/>
      <c r="K292" s="385"/>
      <c r="L292" s="385"/>
      <c r="M292" s="385"/>
      <c r="N292" s="385"/>
      <c r="O292" s="385"/>
    </row>
    <row r="293" spans="2:16" ht="15" customHeight="1" x14ac:dyDescent="0.25">
      <c r="H293" s="385"/>
      <c r="I293" s="385"/>
      <c r="J293" s="385"/>
      <c r="K293" s="385"/>
      <c r="L293" s="385"/>
      <c r="M293" s="385"/>
      <c r="N293" s="385"/>
      <c r="O293" s="385"/>
    </row>
    <row r="294" spans="2:16" ht="15" customHeight="1" x14ac:dyDescent="0.25">
      <c r="M294" s="391"/>
      <c r="N294" s="391"/>
      <c r="O294" s="391"/>
      <c r="P294" s="392"/>
    </row>
    <row r="295" spans="2:16" ht="15" customHeight="1" x14ac:dyDescent="0.25">
      <c r="M295" s="391"/>
      <c r="N295" s="391"/>
      <c r="O295" s="391"/>
      <c r="P295" s="392"/>
    </row>
    <row r="296" spans="2:16" ht="15" customHeight="1" x14ac:dyDescent="0.25">
      <c r="M296" s="391"/>
      <c r="N296" s="391"/>
      <c r="O296" s="391"/>
      <c r="P296" s="392"/>
    </row>
    <row r="297" spans="2:16" ht="15" customHeight="1" x14ac:dyDescent="0.25">
      <c r="M297" s="391"/>
      <c r="N297" s="391"/>
      <c r="O297" s="391"/>
      <c r="P297" s="392"/>
    </row>
    <row r="298" spans="2:16" ht="15" customHeight="1" x14ac:dyDescent="0.25">
      <c r="M298" s="391"/>
      <c r="N298" s="391"/>
      <c r="O298" s="391"/>
      <c r="P298" s="392"/>
    </row>
    <row r="299" spans="2:16" ht="15" customHeight="1" x14ac:dyDescent="0.25">
      <c r="M299" s="391"/>
      <c r="N299" s="391"/>
      <c r="O299" s="391"/>
    </row>
    <row r="300" spans="2:16" ht="15" customHeight="1" x14ac:dyDescent="0.25"/>
    <row r="301" spans="2:16" ht="15" customHeight="1" x14ac:dyDescent="0.25"/>
    <row r="302" spans="2:16" ht="15" customHeight="1" x14ac:dyDescent="0.25"/>
    <row r="303" spans="2:16" ht="15" customHeight="1" x14ac:dyDescent="0.25"/>
    <row r="304" spans="2:16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</sheetData>
  <protectedRanges>
    <protectedRange sqref="K13:L33" name="Range1_1"/>
  </protectedRanges>
  <mergeCells count="11">
    <mergeCell ref="A12:D12"/>
    <mergeCell ref="F12:G12"/>
    <mergeCell ref="A4:G4"/>
    <mergeCell ref="A5:G5"/>
    <mergeCell ref="A6:G6"/>
    <mergeCell ref="A8:A9"/>
    <mergeCell ref="B8:B9"/>
    <mergeCell ref="C8:C9"/>
    <mergeCell ref="D8:D9"/>
    <mergeCell ref="F8:F9"/>
    <mergeCell ref="G8:G9"/>
  </mergeCells>
  <pageMargins left="0.7" right="0.7" top="0.75" bottom="0.75" header="0.3" footer="0.3"/>
  <pageSetup paperSize="9" scale="72" fitToHeight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2:H310"/>
  <sheetViews>
    <sheetView workbookViewId="0">
      <selection activeCell="I23" sqref="I23"/>
    </sheetView>
  </sheetViews>
  <sheetFormatPr defaultColWidth="9.140625" defaultRowHeight="12.75" x14ac:dyDescent="0.2"/>
  <cols>
    <col min="1" max="1" width="9.140625" style="729"/>
    <col min="2" max="2" width="61.7109375" style="751" customWidth="1"/>
    <col min="3" max="3" width="9.140625" style="729"/>
    <col min="4" max="4" width="9.140625" style="731"/>
    <col min="5" max="7" width="9.140625" style="729"/>
    <col min="8" max="8" width="11.42578125" style="746" bestFit="1" customWidth="1"/>
    <col min="9" max="16384" width="9.140625" style="729"/>
  </cols>
  <sheetData>
    <row r="2" spans="1:8" ht="26.45" x14ac:dyDescent="0.25">
      <c r="A2" s="752" t="s">
        <v>1756</v>
      </c>
      <c r="B2" s="752" t="s">
        <v>87</v>
      </c>
      <c r="C2" s="737"/>
      <c r="D2" s="752" t="s">
        <v>7</v>
      </c>
      <c r="E2" s="738"/>
      <c r="F2" s="738"/>
      <c r="G2" s="737"/>
      <c r="H2" s="753" t="s">
        <v>424</v>
      </c>
    </row>
    <row r="4" spans="1:8" ht="13.15" x14ac:dyDescent="0.25">
      <c r="A4" s="754" t="s">
        <v>1525</v>
      </c>
      <c r="B4" s="755"/>
      <c r="C4" s="756"/>
      <c r="D4" s="757"/>
      <c r="E4" s="756"/>
      <c r="F4" s="756"/>
      <c r="G4" s="756"/>
      <c r="H4" s="758"/>
    </row>
    <row r="5" spans="1:8" ht="26.45" x14ac:dyDescent="0.25">
      <c r="B5" s="739" t="s">
        <v>1526</v>
      </c>
      <c r="D5" s="727" t="s">
        <v>1564</v>
      </c>
      <c r="H5" s="747">
        <v>12</v>
      </c>
    </row>
    <row r="6" spans="1:8" ht="13.15" x14ac:dyDescent="0.25">
      <c r="B6" s="739" t="s">
        <v>1527</v>
      </c>
      <c r="D6" s="727" t="s">
        <v>75</v>
      </c>
      <c r="H6" s="747">
        <v>60</v>
      </c>
    </row>
    <row r="7" spans="1:8" ht="13.15" x14ac:dyDescent="0.25">
      <c r="B7" s="739" t="s">
        <v>1528</v>
      </c>
      <c r="D7" s="727" t="s">
        <v>1564</v>
      </c>
      <c r="H7" s="747">
        <v>2000</v>
      </c>
    </row>
    <row r="8" spans="1:8" ht="13.15" x14ac:dyDescent="0.25">
      <c r="B8" s="740" t="s">
        <v>1529</v>
      </c>
      <c r="D8" s="743" t="s">
        <v>1565</v>
      </c>
      <c r="E8" s="741"/>
      <c r="H8" s="747">
        <v>1283</v>
      </c>
    </row>
    <row r="9" spans="1:8" ht="13.15" x14ac:dyDescent="0.25">
      <c r="B9" s="740" t="s">
        <v>1530</v>
      </c>
      <c r="D9" s="743" t="s">
        <v>4</v>
      </c>
      <c r="E9" s="741"/>
      <c r="H9" s="747">
        <v>47</v>
      </c>
    </row>
    <row r="10" spans="1:8" ht="13.15" x14ac:dyDescent="0.25">
      <c r="B10" s="740" t="s">
        <v>1531</v>
      </c>
      <c r="D10" s="744" t="s">
        <v>4</v>
      </c>
      <c r="E10" s="742"/>
      <c r="H10" s="747">
        <v>46</v>
      </c>
    </row>
    <row r="11" spans="1:8" ht="13.15" x14ac:dyDescent="0.25">
      <c r="B11" s="740" t="s">
        <v>1532</v>
      </c>
      <c r="D11" s="744" t="s">
        <v>4</v>
      </c>
      <c r="E11" s="742"/>
      <c r="H11" s="747">
        <v>128</v>
      </c>
    </row>
    <row r="12" spans="1:8" ht="13.15" x14ac:dyDescent="0.25">
      <c r="B12" s="740" t="s">
        <v>1533</v>
      </c>
      <c r="D12" s="743" t="s">
        <v>4</v>
      </c>
      <c r="E12" s="741"/>
      <c r="H12" s="747">
        <v>47</v>
      </c>
    </row>
    <row r="13" spans="1:8" ht="13.15" x14ac:dyDescent="0.25">
      <c r="B13" s="740" t="s">
        <v>1534</v>
      </c>
      <c r="D13" s="744" t="s">
        <v>4</v>
      </c>
      <c r="E13" s="742"/>
      <c r="H13" s="747">
        <v>46</v>
      </c>
    </row>
    <row r="14" spans="1:8" ht="13.15" x14ac:dyDescent="0.25">
      <c r="B14" s="740" t="s">
        <v>1535</v>
      </c>
      <c r="D14" s="744" t="s">
        <v>4</v>
      </c>
      <c r="E14" s="742"/>
      <c r="H14" s="747">
        <v>128</v>
      </c>
    </row>
    <row r="15" spans="1:8" ht="13.15" x14ac:dyDescent="0.25">
      <c r="B15" s="740" t="s">
        <v>1536</v>
      </c>
      <c r="D15" s="743" t="s">
        <v>4</v>
      </c>
      <c r="E15" s="741"/>
      <c r="H15" s="747">
        <v>47</v>
      </c>
    </row>
    <row r="16" spans="1:8" ht="13.15" x14ac:dyDescent="0.25">
      <c r="B16" s="740" t="s">
        <v>1537</v>
      </c>
      <c r="D16" s="744" t="s">
        <v>4</v>
      </c>
      <c r="E16" s="742"/>
      <c r="H16" s="747">
        <v>56</v>
      </c>
    </row>
    <row r="17" spans="2:8" ht="13.15" x14ac:dyDescent="0.25">
      <c r="B17" s="740" t="s">
        <v>1538</v>
      </c>
      <c r="D17" s="744" t="s">
        <v>4</v>
      </c>
      <c r="E17" s="742"/>
      <c r="H17" s="747">
        <v>128</v>
      </c>
    </row>
    <row r="18" spans="2:8" ht="13.15" x14ac:dyDescent="0.25">
      <c r="B18" s="740" t="s">
        <v>1539</v>
      </c>
      <c r="D18" s="744" t="s">
        <v>4</v>
      </c>
      <c r="E18" s="742"/>
      <c r="H18" s="747">
        <v>47</v>
      </c>
    </row>
    <row r="19" spans="2:8" ht="13.15" x14ac:dyDescent="0.25">
      <c r="B19" s="740" t="s">
        <v>1540</v>
      </c>
      <c r="D19" s="743" t="s">
        <v>4</v>
      </c>
      <c r="E19" s="741"/>
      <c r="H19" s="747">
        <v>46</v>
      </c>
    </row>
    <row r="20" spans="2:8" ht="13.15" x14ac:dyDescent="0.25">
      <c r="B20" s="740" t="s">
        <v>1541</v>
      </c>
      <c r="D20" s="743" t="s">
        <v>4</v>
      </c>
      <c r="E20" s="741"/>
      <c r="H20" s="747">
        <v>128</v>
      </c>
    </row>
    <row r="21" spans="2:8" ht="13.15" x14ac:dyDescent="0.25">
      <c r="B21" s="730"/>
      <c r="H21" s="747"/>
    </row>
    <row r="22" spans="2:8" ht="13.15" x14ac:dyDescent="0.25">
      <c r="B22" s="739" t="s">
        <v>1542</v>
      </c>
      <c r="D22" s="727" t="s">
        <v>4</v>
      </c>
      <c r="H22" s="749">
        <v>47</v>
      </c>
    </row>
    <row r="23" spans="2:8" ht="13.15" x14ac:dyDescent="0.25">
      <c r="B23" s="739" t="s">
        <v>1543</v>
      </c>
      <c r="D23" s="727" t="s">
        <v>4</v>
      </c>
      <c r="H23" s="749">
        <v>47</v>
      </c>
    </row>
    <row r="24" spans="2:8" ht="13.15" x14ac:dyDescent="0.25">
      <c r="B24" s="739" t="s">
        <v>1544</v>
      </c>
      <c r="D24" s="727" t="s">
        <v>3</v>
      </c>
      <c r="H24" s="749">
        <v>60</v>
      </c>
    </row>
    <row r="25" spans="2:8" ht="13.15" x14ac:dyDescent="0.25">
      <c r="B25" s="730"/>
      <c r="H25" s="747"/>
    </row>
    <row r="26" spans="2:8" ht="13.15" x14ac:dyDescent="0.25">
      <c r="B26" s="739" t="s">
        <v>1545</v>
      </c>
      <c r="D26" s="727" t="s">
        <v>3</v>
      </c>
      <c r="H26" s="749">
        <v>4.4000000000000004</v>
      </c>
    </row>
    <row r="27" spans="2:8" ht="13.15" x14ac:dyDescent="0.25">
      <c r="B27" s="739" t="s">
        <v>1546</v>
      </c>
      <c r="D27" s="727" t="s">
        <v>9</v>
      </c>
      <c r="H27" s="749">
        <v>20.2</v>
      </c>
    </row>
    <row r="28" spans="2:8" ht="13.15" x14ac:dyDescent="0.25">
      <c r="B28" s="739" t="s">
        <v>1547</v>
      </c>
      <c r="D28" s="727" t="s">
        <v>3</v>
      </c>
      <c r="H28" s="749">
        <v>3</v>
      </c>
    </row>
    <row r="29" spans="2:8" x14ac:dyDescent="0.2">
      <c r="B29" s="739" t="s">
        <v>1548</v>
      </c>
      <c r="D29" s="727" t="s">
        <v>4</v>
      </c>
      <c r="H29" s="749">
        <v>47</v>
      </c>
    </row>
    <row r="30" spans="2:8" x14ac:dyDescent="0.2">
      <c r="B30" s="739" t="s">
        <v>1549</v>
      </c>
      <c r="D30" s="727" t="s">
        <v>4</v>
      </c>
      <c r="H30" s="749">
        <v>185</v>
      </c>
    </row>
    <row r="31" spans="2:8" x14ac:dyDescent="0.2">
      <c r="B31" s="730"/>
      <c r="H31" s="747"/>
    </row>
    <row r="32" spans="2:8" x14ac:dyDescent="0.2">
      <c r="B32" s="739" t="s">
        <v>1550</v>
      </c>
      <c r="D32" s="727" t="s">
        <v>4</v>
      </c>
      <c r="H32" s="749">
        <v>47</v>
      </c>
    </row>
    <row r="33" spans="2:8" x14ac:dyDescent="0.2">
      <c r="B33" s="739" t="s">
        <v>1551</v>
      </c>
      <c r="D33" s="727" t="s">
        <v>4</v>
      </c>
      <c r="H33" s="749">
        <v>185</v>
      </c>
    </row>
    <row r="34" spans="2:8" x14ac:dyDescent="0.2">
      <c r="B34" s="730"/>
      <c r="H34" s="747"/>
    </row>
    <row r="35" spans="2:8" x14ac:dyDescent="0.2">
      <c r="B35" s="739" t="s">
        <v>1552</v>
      </c>
      <c r="D35" s="727" t="s">
        <v>1566</v>
      </c>
      <c r="H35" s="749">
        <v>4889.74</v>
      </c>
    </row>
    <row r="36" spans="2:8" x14ac:dyDescent="0.2">
      <c r="B36" s="739" t="s">
        <v>1553</v>
      </c>
      <c r="D36" s="727" t="s">
        <v>1566</v>
      </c>
      <c r="H36" s="749">
        <v>5650</v>
      </c>
    </row>
    <row r="37" spans="2:8" x14ac:dyDescent="0.2">
      <c r="B37" s="739" t="s">
        <v>1545</v>
      </c>
      <c r="D37" s="727" t="s">
        <v>3</v>
      </c>
      <c r="H37" s="749">
        <v>10</v>
      </c>
    </row>
    <row r="38" spans="2:8" x14ac:dyDescent="0.2">
      <c r="B38" s="739" t="s">
        <v>1554</v>
      </c>
      <c r="D38" s="727" t="s">
        <v>4</v>
      </c>
      <c r="H38" s="749">
        <v>32.64</v>
      </c>
    </row>
    <row r="39" spans="2:8" x14ac:dyDescent="0.2">
      <c r="B39" s="739" t="s">
        <v>1555</v>
      </c>
      <c r="D39" s="727" t="s">
        <v>1564</v>
      </c>
      <c r="H39" s="749">
        <v>20</v>
      </c>
    </row>
    <row r="40" spans="2:8" x14ac:dyDescent="0.2">
      <c r="B40" s="739" t="s">
        <v>1556</v>
      </c>
      <c r="D40" s="727" t="s">
        <v>1564</v>
      </c>
      <c r="H40" s="749">
        <v>25</v>
      </c>
    </row>
    <row r="41" spans="2:8" x14ac:dyDescent="0.2">
      <c r="B41" s="739" t="s">
        <v>1546</v>
      </c>
      <c r="D41" s="727" t="s">
        <v>9</v>
      </c>
      <c r="H41" s="749">
        <v>30.2</v>
      </c>
    </row>
    <row r="42" spans="2:8" x14ac:dyDescent="0.2">
      <c r="B42" s="739" t="s">
        <v>1557</v>
      </c>
      <c r="D42" s="727" t="s">
        <v>1564</v>
      </c>
      <c r="H42" s="749">
        <v>10</v>
      </c>
    </row>
    <row r="43" spans="2:8" x14ac:dyDescent="0.2">
      <c r="B43" s="739" t="s">
        <v>1547</v>
      </c>
      <c r="D43" s="727" t="s">
        <v>3</v>
      </c>
      <c r="H43" s="749">
        <v>3</v>
      </c>
    </row>
    <row r="44" spans="2:8" x14ac:dyDescent="0.2">
      <c r="B44" s="730"/>
      <c r="H44" s="747"/>
    </row>
    <row r="45" spans="2:8" x14ac:dyDescent="0.2">
      <c r="B45" s="739" t="s">
        <v>1529</v>
      </c>
      <c r="D45" s="727" t="s">
        <v>4</v>
      </c>
      <c r="H45" s="749">
        <v>1283</v>
      </c>
    </row>
    <row r="46" spans="2:8" x14ac:dyDescent="0.2">
      <c r="B46" s="739" t="s">
        <v>1558</v>
      </c>
      <c r="D46" s="727" t="s">
        <v>4</v>
      </c>
      <c r="H46" s="749">
        <v>9.6999999999999993</v>
      </c>
    </row>
    <row r="47" spans="2:8" x14ac:dyDescent="0.2">
      <c r="B47" s="739" t="s">
        <v>1559</v>
      </c>
      <c r="D47" s="727" t="s">
        <v>4</v>
      </c>
      <c r="H47" s="749">
        <v>11.8</v>
      </c>
    </row>
    <row r="48" spans="2:8" x14ac:dyDescent="0.2">
      <c r="B48" s="739" t="s">
        <v>1560</v>
      </c>
      <c r="D48" s="728" t="s">
        <v>75</v>
      </c>
      <c r="H48" s="750">
        <v>9</v>
      </c>
    </row>
    <row r="49" spans="1:8" x14ac:dyDescent="0.2">
      <c r="B49" s="739" t="s">
        <v>1529</v>
      </c>
      <c r="D49" s="727" t="s">
        <v>4</v>
      </c>
      <c r="H49" s="749">
        <v>1283</v>
      </c>
    </row>
    <row r="50" spans="1:8" x14ac:dyDescent="0.2">
      <c r="B50" s="739" t="s">
        <v>1558</v>
      </c>
      <c r="D50" s="727" t="s">
        <v>4</v>
      </c>
      <c r="H50" s="749">
        <v>9.6999999999999993</v>
      </c>
    </row>
    <row r="51" spans="1:8" x14ac:dyDescent="0.2">
      <c r="B51" s="739" t="s">
        <v>1559</v>
      </c>
      <c r="D51" s="727" t="s">
        <v>4</v>
      </c>
      <c r="H51" s="749">
        <v>11.8</v>
      </c>
    </row>
    <row r="52" spans="1:8" x14ac:dyDescent="0.2">
      <c r="B52" s="739" t="s">
        <v>1560</v>
      </c>
      <c r="D52" s="728" t="s">
        <v>75</v>
      </c>
      <c r="H52" s="750">
        <v>9</v>
      </c>
    </row>
    <row r="53" spans="1:8" x14ac:dyDescent="0.2">
      <c r="B53" s="739" t="s">
        <v>1529</v>
      </c>
      <c r="D53" s="727" t="s">
        <v>4</v>
      </c>
      <c r="H53" s="749">
        <v>1283</v>
      </c>
    </row>
    <row r="54" spans="1:8" x14ac:dyDescent="0.2">
      <c r="B54" s="739" t="s">
        <v>1558</v>
      </c>
      <c r="D54" s="727" t="s">
        <v>4</v>
      </c>
      <c r="H54" s="749">
        <v>9.6999999999999993</v>
      </c>
    </row>
    <row r="55" spans="1:8" x14ac:dyDescent="0.2">
      <c r="B55" s="739" t="s">
        <v>1559</v>
      </c>
      <c r="D55" s="727" t="s">
        <v>4</v>
      </c>
      <c r="H55" s="749">
        <v>11.8</v>
      </c>
    </row>
    <row r="56" spans="1:8" x14ac:dyDescent="0.2">
      <c r="B56" s="739" t="s">
        <v>1560</v>
      </c>
      <c r="D56" s="728" t="s">
        <v>75</v>
      </c>
      <c r="H56" s="750">
        <v>9</v>
      </c>
    </row>
    <row r="57" spans="1:8" x14ac:dyDescent="0.2">
      <c r="B57" s="730"/>
      <c r="H57" s="747"/>
    </row>
    <row r="58" spans="1:8" x14ac:dyDescent="0.2">
      <c r="B58" s="739" t="s">
        <v>1561</v>
      </c>
      <c r="D58" s="727" t="s">
        <v>4</v>
      </c>
      <c r="H58" s="749">
        <v>47</v>
      </c>
    </row>
    <row r="59" spans="1:8" x14ac:dyDescent="0.2">
      <c r="B59" s="739" t="s">
        <v>1562</v>
      </c>
      <c r="D59" s="728" t="s">
        <v>4</v>
      </c>
      <c r="H59" s="750">
        <v>138</v>
      </c>
    </row>
    <row r="60" spans="1:8" x14ac:dyDescent="0.2">
      <c r="B60" s="739" t="s">
        <v>1563</v>
      </c>
      <c r="D60" s="728" t="s">
        <v>4</v>
      </c>
      <c r="H60" s="750">
        <v>45</v>
      </c>
    </row>
    <row r="61" spans="1:8" x14ac:dyDescent="0.2">
      <c r="H61" s="748"/>
    </row>
    <row r="62" spans="1:8" x14ac:dyDescent="0.2">
      <c r="A62" s="754" t="s">
        <v>421</v>
      </c>
      <c r="B62" s="755"/>
      <c r="C62" s="756"/>
      <c r="D62" s="757"/>
      <c r="E62" s="756"/>
      <c r="F62" s="756"/>
      <c r="G62" s="756"/>
      <c r="H62" s="759"/>
    </row>
    <row r="63" spans="1:8" x14ac:dyDescent="0.2">
      <c r="B63" s="739" t="s">
        <v>1567</v>
      </c>
      <c r="C63" s="732"/>
      <c r="D63" s="733" t="s">
        <v>75</v>
      </c>
      <c r="E63" s="734"/>
      <c r="F63" s="734"/>
      <c r="G63" s="734"/>
      <c r="H63" s="747">
        <v>361.75</v>
      </c>
    </row>
    <row r="64" spans="1:8" x14ac:dyDescent="0.2">
      <c r="B64" s="739" t="s">
        <v>1561</v>
      </c>
      <c r="C64" s="732"/>
      <c r="D64" s="733" t="s">
        <v>4</v>
      </c>
      <c r="E64" s="734"/>
      <c r="F64" s="734"/>
      <c r="G64" s="734"/>
      <c r="H64" s="747">
        <v>47</v>
      </c>
    </row>
    <row r="65" spans="2:8" x14ac:dyDescent="0.2">
      <c r="B65" s="739" t="s">
        <v>1568</v>
      </c>
      <c r="C65" s="732"/>
      <c r="D65" s="733" t="s">
        <v>4</v>
      </c>
      <c r="E65" s="734"/>
      <c r="F65" s="734"/>
      <c r="G65" s="734"/>
      <c r="H65" s="747">
        <v>185</v>
      </c>
    </row>
    <row r="66" spans="2:8" x14ac:dyDescent="0.2">
      <c r="B66" s="739" t="s">
        <v>1569</v>
      </c>
      <c r="C66" s="732"/>
      <c r="D66" s="733" t="s">
        <v>4</v>
      </c>
      <c r="E66" s="734"/>
      <c r="F66" s="734"/>
      <c r="G66" s="734"/>
      <c r="H66" s="747">
        <v>195</v>
      </c>
    </row>
    <row r="67" spans="2:8" x14ac:dyDescent="0.2">
      <c r="B67" s="739" t="s">
        <v>1570</v>
      </c>
      <c r="C67" s="732"/>
      <c r="D67" s="733" t="s">
        <v>3</v>
      </c>
      <c r="E67" s="734"/>
      <c r="F67" s="734"/>
      <c r="G67" s="734"/>
      <c r="H67" s="747">
        <v>15</v>
      </c>
    </row>
    <row r="68" spans="2:8" x14ac:dyDescent="0.2">
      <c r="B68" s="739" t="s">
        <v>1571</v>
      </c>
      <c r="C68" s="732"/>
      <c r="D68" s="733" t="s">
        <v>9</v>
      </c>
      <c r="E68" s="734"/>
      <c r="F68" s="734"/>
      <c r="G68" s="734"/>
      <c r="H68" s="747">
        <v>2.4700000000000002</v>
      </c>
    </row>
    <row r="69" spans="2:8" x14ac:dyDescent="0.2">
      <c r="B69" s="739" t="s">
        <v>1572</v>
      </c>
      <c r="C69" s="732"/>
      <c r="D69" s="733" t="s">
        <v>4</v>
      </c>
      <c r="E69" s="734"/>
      <c r="F69" s="734"/>
      <c r="G69" s="734"/>
      <c r="H69" s="747">
        <v>205</v>
      </c>
    </row>
    <row r="70" spans="2:8" x14ac:dyDescent="0.2">
      <c r="B70" s="739" t="s">
        <v>1573</v>
      </c>
      <c r="C70" s="732"/>
      <c r="D70" s="733" t="s">
        <v>3</v>
      </c>
      <c r="E70" s="734"/>
      <c r="F70" s="734"/>
      <c r="G70" s="734"/>
      <c r="H70" s="747">
        <v>15</v>
      </c>
    </row>
    <row r="71" spans="2:8" x14ac:dyDescent="0.2">
      <c r="B71" s="739" t="s">
        <v>1574</v>
      </c>
      <c r="C71" s="732"/>
      <c r="D71" s="733" t="s">
        <v>3</v>
      </c>
      <c r="E71" s="734"/>
      <c r="F71" s="734"/>
      <c r="G71" s="734"/>
      <c r="H71" s="747">
        <v>40</v>
      </c>
    </row>
    <row r="72" spans="2:8" x14ac:dyDescent="0.2">
      <c r="B72" s="739" t="s">
        <v>1575</v>
      </c>
      <c r="C72" s="732"/>
      <c r="D72" s="733" t="s">
        <v>3</v>
      </c>
      <c r="E72" s="734"/>
      <c r="F72" s="734"/>
      <c r="G72" s="734"/>
      <c r="H72" s="747">
        <v>228.8</v>
      </c>
    </row>
    <row r="73" spans="2:8" x14ac:dyDescent="0.2">
      <c r="B73" s="739" t="s">
        <v>1576</v>
      </c>
      <c r="C73" s="732"/>
      <c r="D73" s="733" t="s">
        <v>3</v>
      </c>
      <c r="E73" s="734"/>
      <c r="F73" s="734"/>
      <c r="G73" s="734"/>
      <c r="H73" s="747">
        <v>108</v>
      </c>
    </row>
    <row r="74" spans="2:8" x14ac:dyDescent="0.2">
      <c r="B74" s="739" t="s">
        <v>1577</v>
      </c>
      <c r="C74" s="732"/>
      <c r="D74" s="733" t="s">
        <v>3</v>
      </c>
      <c r="E74" s="734"/>
      <c r="F74" s="734"/>
      <c r="G74" s="734"/>
      <c r="H74" s="747">
        <v>18</v>
      </c>
    </row>
    <row r="75" spans="2:8" x14ac:dyDescent="0.2">
      <c r="B75" s="739" t="s">
        <v>1578</v>
      </c>
      <c r="C75" s="732"/>
      <c r="D75" s="733" t="s">
        <v>3</v>
      </c>
      <c r="E75" s="734"/>
      <c r="F75" s="734"/>
      <c r="G75" s="734"/>
      <c r="H75" s="747">
        <v>12</v>
      </c>
    </row>
    <row r="76" spans="2:8" x14ac:dyDescent="0.2">
      <c r="B76" s="739" t="s">
        <v>1579</v>
      </c>
      <c r="C76" s="732"/>
      <c r="D76" s="733" t="s">
        <v>4</v>
      </c>
      <c r="E76" s="734"/>
      <c r="F76" s="734"/>
      <c r="G76" s="734"/>
      <c r="H76" s="747">
        <v>455</v>
      </c>
    </row>
    <row r="77" spans="2:8" x14ac:dyDescent="0.2">
      <c r="B77" s="739" t="s">
        <v>1754</v>
      </c>
      <c r="C77" s="732"/>
      <c r="D77" s="733" t="s">
        <v>3</v>
      </c>
      <c r="E77" s="734"/>
      <c r="F77" s="734"/>
      <c r="G77" s="734"/>
      <c r="H77" s="747">
        <v>15</v>
      </c>
    </row>
    <row r="78" spans="2:8" x14ac:dyDescent="0.2">
      <c r="B78" s="739" t="s">
        <v>1580</v>
      </c>
      <c r="C78" s="732"/>
      <c r="D78" s="733" t="s">
        <v>3</v>
      </c>
      <c r="E78" s="734"/>
      <c r="F78" s="734"/>
      <c r="G78" s="734"/>
      <c r="H78" s="747">
        <v>15</v>
      </c>
    </row>
    <row r="79" spans="2:8" x14ac:dyDescent="0.2">
      <c r="B79" s="730"/>
      <c r="C79" s="732"/>
      <c r="D79" s="733"/>
      <c r="E79" s="734"/>
      <c r="F79" s="734"/>
      <c r="G79" s="734"/>
      <c r="H79" s="747"/>
    </row>
    <row r="80" spans="2:8" x14ac:dyDescent="0.2">
      <c r="B80" s="740" t="s">
        <v>1581</v>
      </c>
      <c r="C80" s="732"/>
      <c r="D80" s="733" t="s">
        <v>4</v>
      </c>
      <c r="E80" s="734"/>
      <c r="F80" s="734"/>
      <c r="G80" s="734"/>
      <c r="H80" s="747">
        <v>185</v>
      </c>
    </row>
    <row r="81" spans="2:8" x14ac:dyDescent="0.2">
      <c r="B81" s="740" t="s">
        <v>1582</v>
      </c>
      <c r="C81" s="732"/>
      <c r="D81" s="733" t="s">
        <v>3</v>
      </c>
      <c r="E81" s="734"/>
      <c r="F81" s="734"/>
      <c r="G81" s="734"/>
      <c r="H81" s="747">
        <v>37.130000000000003</v>
      </c>
    </row>
    <row r="82" spans="2:8" x14ac:dyDescent="0.2">
      <c r="B82" s="740" t="s">
        <v>1583</v>
      </c>
      <c r="C82" s="732"/>
      <c r="D82" s="733" t="s">
        <v>1584</v>
      </c>
      <c r="E82" s="734"/>
      <c r="F82" s="734"/>
      <c r="G82" s="734"/>
      <c r="H82" s="747">
        <v>2.75</v>
      </c>
    </row>
    <row r="83" spans="2:8" x14ac:dyDescent="0.2">
      <c r="B83" s="740" t="s">
        <v>1585</v>
      </c>
      <c r="C83" s="732"/>
      <c r="D83" s="733" t="s">
        <v>3</v>
      </c>
      <c r="E83" s="734"/>
      <c r="F83" s="734"/>
      <c r="G83" s="734"/>
      <c r="H83" s="747">
        <v>205</v>
      </c>
    </row>
    <row r="84" spans="2:8" x14ac:dyDescent="0.2">
      <c r="B84" s="740" t="s">
        <v>1586</v>
      </c>
      <c r="C84" s="732"/>
      <c r="D84" s="733" t="s">
        <v>3</v>
      </c>
      <c r="E84" s="734"/>
      <c r="F84" s="734"/>
      <c r="G84" s="734"/>
      <c r="H84" s="749">
        <v>550</v>
      </c>
    </row>
    <row r="85" spans="2:8" x14ac:dyDescent="0.2">
      <c r="B85" s="730"/>
      <c r="C85" s="732"/>
      <c r="D85" s="733"/>
      <c r="E85" s="734"/>
      <c r="F85" s="734"/>
      <c r="G85" s="734"/>
      <c r="H85" s="747"/>
    </row>
    <row r="86" spans="2:8" x14ac:dyDescent="0.2">
      <c r="B86" s="740" t="s">
        <v>1558</v>
      </c>
      <c r="C86" s="732"/>
      <c r="D86" s="743" t="s">
        <v>4</v>
      </c>
      <c r="E86" s="734"/>
      <c r="F86" s="734"/>
      <c r="G86" s="734"/>
      <c r="H86" s="747">
        <v>47</v>
      </c>
    </row>
    <row r="87" spans="2:8" x14ac:dyDescent="0.2">
      <c r="B87" s="740" t="s">
        <v>1587</v>
      </c>
      <c r="C87" s="732"/>
      <c r="D87" s="743" t="s">
        <v>4</v>
      </c>
      <c r="E87" s="734"/>
      <c r="F87" s="734"/>
      <c r="G87" s="734"/>
      <c r="H87" s="747">
        <v>185</v>
      </c>
    </row>
    <row r="88" spans="2:8" x14ac:dyDescent="0.2">
      <c r="B88" s="740" t="s">
        <v>1582</v>
      </c>
      <c r="C88" s="732"/>
      <c r="D88" s="743" t="s">
        <v>3</v>
      </c>
      <c r="E88" s="734"/>
      <c r="F88" s="734"/>
      <c r="G88" s="734"/>
      <c r="H88" s="747">
        <v>37.130000000000003</v>
      </c>
    </row>
    <row r="89" spans="2:8" x14ac:dyDescent="0.2">
      <c r="B89" s="740" t="s">
        <v>1588</v>
      </c>
      <c r="C89" s="732"/>
      <c r="D89" s="743" t="s">
        <v>1584</v>
      </c>
      <c r="E89" s="734"/>
      <c r="F89" s="734"/>
      <c r="G89" s="734"/>
      <c r="H89" s="747">
        <v>3.5</v>
      </c>
    </row>
    <row r="90" spans="2:8" x14ac:dyDescent="0.2">
      <c r="B90" s="740" t="s">
        <v>1589</v>
      </c>
      <c r="C90" s="732"/>
      <c r="D90" s="743" t="s">
        <v>4</v>
      </c>
      <c r="E90" s="734"/>
      <c r="F90" s="734"/>
      <c r="G90" s="734"/>
      <c r="H90" s="747">
        <v>205</v>
      </c>
    </row>
    <row r="91" spans="2:8" x14ac:dyDescent="0.2">
      <c r="B91" s="740" t="s">
        <v>1590</v>
      </c>
      <c r="C91" s="732"/>
      <c r="D91" s="744" t="s">
        <v>4</v>
      </c>
      <c r="E91" s="734"/>
      <c r="F91" s="734"/>
      <c r="G91" s="734"/>
      <c r="H91" s="747">
        <v>56</v>
      </c>
    </row>
    <row r="92" spans="2:8" x14ac:dyDescent="0.2">
      <c r="B92" s="740" t="s">
        <v>1591</v>
      </c>
      <c r="C92" s="732"/>
      <c r="D92" s="744" t="s">
        <v>4</v>
      </c>
      <c r="E92" s="734"/>
      <c r="F92" s="734"/>
      <c r="G92" s="734"/>
      <c r="H92" s="747">
        <v>55</v>
      </c>
    </row>
    <row r="93" spans="2:8" x14ac:dyDescent="0.2">
      <c r="B93" s="740" t="s">
        <v>1592</v>
      </c>
      <c r="C93" s="732"/>
      <c r="D93" s="743" t="s">
        <v>3</v>
      </c>
      <c r="E93" s="734"/>
      <c r="F93" s="734"/>
      <c r="G93" s="734"/>
      <c r="H93" s="747">
        <v>4.5999999999999996</v>
      </c>
    </row>
    <row r="94" spans="2:8" x14ac:dyDescent="0.2">
      <c r="B94" s="740" t="s">
        <v>1593</v>
      </c>
      <c r="C94" s="732"/>
      <c r="D94" s="744" t="s">
        <v>1584</v>
      </c>
      <c r="E94" s="734"/>
      <c r="F94" s="734"/>
      <c r="G94" s="734"/>
      <c r="H94" s="747">
        <v>3.5</v>
      </c>
    </row>
    <row r="95" spans="2:8" x14ac:dyDescent="0.2">
      <c r="B95" s="740" t="s">
        <v>1594</v>
      </c>
      <c r="C95" s="732"/>
      <c r="D95" s="744" t="s">
        <v>4</v>
      </c>
      <c r="E95" s="734"/>
      <c r="F95" s="734"/>
      <c r="G95" s="734"/>
      <c r="H95" s="747">
        <v>185</v>
      </c>
    </row>
    <row r="96" spans="2:8" x14ac:dyDescent="0.2">
      <c r="B96" s="740" t="s">
        <v>1595</v>
      </c>
      <c r="C96" s="732"/>
      <c r="D96" s="743" t="s">
        <v>3</v>
      </c>
      <c r="E96" s="734"/>
      <c r="F96" s="734"/>
      <c r="G96" s="734"/>
      <c r="H96" s="747">
        <v>950</v>
      </c>
    </row>
    <row r="97" spans="2:8" x14ac:dyDescent="0.2">
      <c r="B97" s="740" t="s">
        <v>1596</v>
      </c>
      <c r="C97" s="732"/>
      <c r="D97" s="744" t="s">
        <v>4</v>
      </c>
      <c r="E97" s="734"/>
      <c r="F97" s="734"/>
      <c r="G97" s="734"/>
      <c r="H97" s="747">
        <v>47</v>
      </c>
    </row>
    <row r="98" spans="2:8" x14ac:dyDescent="0.2">
      <c r="B98" s="730"/>
      <c r="C98" s="732"/>
      <c r="D98" s="733"/>
      <c r="E98" s="734"/>
      <c r="F98" s="734"/>
      <c r="G98" s="734"/>
      <c r="H98" s="747"/>
    </row>
    <row r="99" spans="2:8" x14ac:dyDescent="0.2">
      <c r="B99" s="740" t="s">
        <v>1597</v>
      </c>
      <c r="C99" s="732"/>
      <c r="D99" s="744" t="s">
        <v>4</v>
      </c>
      <c r="E99" s="734"/>
      <c r="F99" s="734"/>
      <c r="G99" s="734"/>
      <c r="H99" s="747">
        <v>47</v>
      </c>
    </row>
    <row r="100" spans="2:8" x14ac:dyDescent="0.2">
      <c r="B100" s="740" t="s">
        <v>1598</v>
      </c>
      <c r="C100" s="732"/>
      <c r="D100" s="743" t="s">
        <v>4</v>
      </c>
      <c r="E100" s="734"/>
      <c r="F100" s="734"/>
      <c r="G100" s="734"/>
      <c r="H100" s="747">
        <v>46</v>
      </c>
    </row>
    <row r="101" spans="2:8" x14ac:dyDescent="0.2">
      <c r="B101" s="740" t="s">
        <v>1599</v>
      </c>
      <c r="C101" s="732"/>
      <c r="D101" s="743" t="s">
        <v>4</v>
      </c>
      <c r="E101" s="734"/>
      <c r="F101" s="734"/>
      <c r="G101" s="734"/>
      <c r="H101" s="747">
        <v>128</v>
      </c>
    </row>
    <row r="102" spans="2:8" x14ac:dyDescent="0.2">
      <c r="B102" s="740" t="s">
        <v>1600</v>
      </c>
      <c r="C102" s="732"/>
      <c r="D102" s="743" t="s">
        <v>4</v>
      </c>
      <c r="E102" s="734"/>
      <c r="F102" s="734"/>
      <c r="G102" s="734"/>
      <c r="H102" s="747">
        <v>185</v>
      </c>
    </row>
    <row r="103" spans="2:8" x14ac:dyDescent="0.2">
      <c r="B103" s="740" t="s">
        <v>1582</v>
      </c>
      <c r="C103" s="732"/>
      <c r="D103" s="743" t="s">
        <v>3</v>
      </c>
      <c r="E103" s="734"/>
      <c r="F103" s="734"/>
      <c r="G103" s="734"/>
      <c r="H103" s="747">
        <v>37.130000000000003</v>
      </c>
    </row>
    <row r="104" spans="2:8" x14ac:dyDescent="0.2">
      <c r="B104" s="740" t="s">
        <v>1583</v>
      </c>
      <c r="C104" s="732"/>
      <c r="D104" s="743" t="s">
        <v>1584</v>
      </c>
      <c r="E104" s="734"/>
      <c r="F104" s="734"/>
      <c r="G104" s="734"/>
      <c r="H104" s="747">
        <v>3.5</v>
      </c>
    </row>
    <row r="105" spans="2:8" x14ac:dyDescent="0.2">
      <c r="B105" s="740" t="s">
        <v>1585</v>
      </c>
      <c r="C105" s="732"/>
      <c r="D105" s="743" t="s">
        <v>4</v>
      </c>
      <c r="E105" s="734"/>
      <c r="F105" s="734"/>
      <c r="G105" s="734"/>
      <c r="H105" s="747">
        <v>205</v>
      </c>
    </row>
    <row r="106" spans="2:8" x14ac:dyDescent="0.2">
      <c r="B106" s="740" t="s">
        <v>1601</v>
      </c>
      <c r="C106" s="732"/>
      <c r="D106" s="743" t="s">
        <v>3</v>
      </c>
      <c r="E106" s="734"/>
      <c r="F106" s="734"/>
      <c r="G106" s="734"/>
      <c r="H106" s="747">
        <v>550</v>
      </c>
    </row>
    <row r="107" spans="2:8" ht="25.5" x14ac:dyDescent="0.2">
      <c r="B107" s="740" t="s">
        <v>1602</v>
      </c>
      <c r="C107" s="732"/>
      <c r="D107" s="743" t="s">
        <v>3</v>
      </c>
      <c r="E107" s="734"/>
      <c r="F107" s="734"/>
      <c r="G107" s="734"/>
      <c r="H107" s="747">
        <v>380</v>
      </c>
    </row>
    <row r="108" spans="2:8" x14ac:dyDescent="0.2">
      <c r="B108" s="730"/>
      <c r="C108" s="732"/>
      <c r="D108" s="733"/>
      <c r="E108" s="734"/>
      <c r="F108" s="734"/>
      <c r="G108" s="734"/>
      <c r="H108" s="747"/>
    </row>
    <row r="109" spans="2:8" x14ac:dyDescent="0.2">
      <c r="B109" s="740" t="s">
        <v>1603</v>
      </c>
      <c r="C109" s="732"/>
      <c r="D109" s="743" t="s">
        <v>4</v>
      </c>
      <c r="E109" s="734"/>
      <c r="F109" s="734"/>
      <c r="G109" s="734"/>
      <c r="H109" s="749">
        <v>47</v>
      </c>
    </row>
    <row r="110" spans="2:8" x14ac:dyDescent="0.2">
      <c r="B110" s="740" t="s">
        <v>1581</v>
      </c>
      <c r="C110" s="732"/>
      <c r="D110" s="743" t="s">
        <v>4</v>
      </c>
      <c r="E110" s="734"/>
      <c r="F110" s="734"/>
      <c r="G110" s="734"/>
      <c r="H110" s="749">
        <v>185</v>
      </c>
    </row>
    <row r="111" spans="2:8" x14ac:dyDescent="0.2">
      <c r="B111" s="740" t="s">
        <v>1582</v>
      </c>
      <c r="C111" s="732"/>
      <c r="D111" s="743" t="s">
        <v>3</v>
      </c>
      <c r="E111" s="734"/>
      <c r="F111" s="734"/>
      <c r="G111" s="734"/>
      <c r="H111" s="749">
        <v>37.130000000000003</v>
      </c>
    </row>
    <row r="112" spans="2:8" x14ac:dyDescent="0.2">
      <c r="B112" s="740" t="s">
        <v>1588</v>
      </c>
      <c r="C112" s="732"/>
      <c r="D112" s="743" t="s">
        <v>1584</v>
      </c>
      <c r="E112" s="734"/>
      <c r="F112" s="734"/>
      <c r="G112" s="734"/>
      <c r="H112" s="749">
        <v>3.5</v>
      </c>
    </row>
    <row r="113" spans="2:8" x14ac:dyDescent="0.2">
      <c r="B113" s="740" t="s">
        <v>1604</v>
      </c>
      <c r="C113" s="732"/>
      <c r="D113" s="743" t="s">
        <v>4</v>
      </c>
      <c r="E113" s="734"/>
      <c r="F113" s="734"/>
      <c r="G113" s="734"/>
      <c r="H113" s="749">
        <v>195</v>
      </c>
    </row>
    <row r="114" spans="2:8" x14ac:dyDescent="0.2">
      <c r="B114" s="740" t="s">
        <v>1590</v>
      </c>
      <c r="C114" s="732"/>
      <c r="D114" s="744" t="s">
        <v>4</v>
      </c>
      <c r="E114" s="734"/>
      <c r="F114" s="734"/>
      <c r="G114" s="734"/>
      <c r="H114" s="750">
        <v>56</v>
      </c>
    </row>
    <row r="115" spans="2:8" x14ac:dyDescent="0.2">
      <c r="B115" s="740" t="s">
        <v>1591</v>
      </c>
      <c r="C115" s="732"/>
      <c r="D115" s="744" t="s">
        <v>4</v>
      </c>
      <c r="E115" s="734"/>
      <c r="F115" s="734"/>
      <c r="G115" s="734"/>
      <c r="H115" s="750">
        <v>55</v>
      </c>
    </row>
    <row r="116" spans="2:8" x14ac:dyDescent="0.2">
      <c r="B116" s="740" t="s">
        <v>1592</v>
      </c>
      <c r="C116" s="732"/>
      <c r="D116" s="743" t="s">
        <v>3</v>
      </c>
      <c r="E116" s="734"/>
      <c r="F116" s="734"/>
      <c r="G116" s="734"/>
      <c r="H116" s="749">
        <v>4.5999999999999996</v>
      </c>
    </row>
    <row r="117" spans="2:8" x14ac:dyDescent="0.2">
      <c r="B117" s="740" t="s">
        <v>1593</v>
      </c>
      <c r="C117" s="732"/>
      <c r="D117" s="744" t="s">
        <v>1584</v>
      </c>
      <c r="E117" s="734"/>
      <c r="F117" s="734"/>
      <c r="G117" s="734"/>
      <c r="H117" s="750">
        <v>3.5</v>
      </c>
    </row>
    <row r="118" spans="2:8" x14ac:dyDescent="0.2">
      <c r="B118" s="740" t="s">
        <v>1605</v>
      </c>
      <c r="C118" s="732"/>
      <c r="D118" s="744" t="s">
        <v>4</v>
      </c>
      <c r="E118" s="734"/>
      <c r="F118" s="734"/>
      <c r="G118" s="734"/>
      <c r="H118" s="750">
        <v>185</v>
      </c>
    </row>
    <row r="119" spans="2:8" x14ac:dyDescent="0.2">
      <c r="B119" s="740" t="s">
        <v>1606</v>
      </c>
      <c r="C119" s="732"/>
      <c r="D119" s="743" t="s">
        <v>3</v>
      </c>
      <c r="E119" s="734"/>
      <c r="F119" s="734"/>
      <c r="G119" s="734"/>
      <c r="H119" s="749">
        <v>550</v>
      </c>
    </row>
    <row r="120" spans="2:8" x14ac:dyDescent="0.2">
      <c r="B120" s="740" t="s">
        <v>1597</v>
      </c>
      <c r="C120" s="732"/>
      <c r="D120" s="744" t="s">
        <v>4</v>
      </c>
      <c r="E120" s="734"/>
      <c r="F120" s="734"/>
      <c r="G120" s="734"/>
      <c r="H120" s="750">
        <v>47</v>
      </c>
    </row>
    <row r="121" spans="2:8" x14ac:dyDescent="0.2">
      <c r="B121" s="740" t="s">
        <v>1598</v>
      </c>
      <c r="C121" s="732"/>
      <c r="D121" s="743" t="s">
        <v>4</v>
      </c>
      <c r="E121" s="734"/>
      <c r="F121" s="734"/>
      <c r="G121" s="734"/>
      <c r="H121" s="750">
        <v>56</v>
      </c>
    </row>
    <row r="122" spans="2:8" x14ac:dyDescent="0.2">
      <c r="B122" s="740" t="s">
        <v>1599</v>
      </c>
      <c r="C122" s="732"/>
      <c r="D122" s="743" t="s">
        <v>4</v>
      </c>
      <c r="E122" s="734"/>
      <c r="F122" s="734"/>
      <c r="G122" s="734"/>
      <c r="H122" s="750">
        <v>148</v>
      </c>
    </row>
    <row r="123" spans="2:8" x14ac:dyDescent="0.2">
      <c r="B123" s="740" t="s">
        <v>1600</v>
      </c>
      <c r="C123" s="732"/>
      <c r="D123" s="743" t="s">
        <v>4</v>
      </c>
      <c r="E123" s="734"/>
      <c r="F123" s="734"/>
      <c r="G123" s="734"/>
      <c r="H123" s="749">
        <v>185</v>
      </c>
    </row>
    <row r="124" spans="2:8" x14ac:dyDescent="0.2">
      <c r="B124" s="740" t="s">
        <v>1582</v>
      </c>
      <c r="C124" s="732"/>
      <c r="D124" s="743" t="s">
        <v>3</v>
      </c>
      <c r="E124" s="734"/>
      <c r="F124" s="734"/>
      <c r="G124" s="734"/>
      <c r="H124" s="749">
        <v>37.130000000000003</v>
      </c>
    </row>
    <row r="125" spans="2:8" x14ac:dyDescent="0.2">
      <c r="B125" s="740" t="s">
        <v>1583</v>
      </c>
      <c r="C125" s="732"/>
      <c r="D125" s="743" t="s">
        <v>1584</v>
      </c>
      <c r="E125" s="734"/>
      <c r="F125" s="734"/>
      <c r="G125" s="734"/>
      <c r="H125" s="749">
        <v>3.5</v>
      </c>
    </row>
    <row r="126" spans="2:8" x14ac:dyDescent="0.2">
      <c r="B126" s="740" t="s">
        <v>1585</v>
      </c>
      <c r="C126" s="732"/>
      <c r="D126" s="743" t="s">
        <v>4</v>
      </c>
      <c r="E126" s="734"/>
      <c r="F126" s="734"/>
      <c r="G126" s="734"/>
      <c r="H126" s="749">
        <v>205</v>
      </c>
    </row>
    <row r="127" spans="2:8" x14ac:dyDescent="0.2">
      <c r="B127" s="740" t="s">
        <v>1601</v>
      </c>
      <c r="C127" s="732"/>
      <c r="D127" s="743" t="s">
        <v>3</v>
      </c>
      <c r="E127" s="734"/>
      <c r="F127" s="734"/>
      <c r="G127" s="734"/>
      <c r="H127" s="749">
        <v>950</v>
      </c>
    </row>
    <row r="128" spans="2:8" x14ac:dyDescent="0.2">
      <c r="B128" s="740" t="s">
        <v>1596</v>
      </c>
      <c r="C128" s="732"/>
      <c r="D128" s="744" t="s">
        <v>4</v>
      </c>
      <c r="E128" s="734"/>
      <c r="F128" s="734"/>
      <c r="G128" s="734"/>
      <c r="H128" s="750">
        <v>47</v>
      </c>
    </row>
    <row r="129" spans="2:8" ht="25.5" x14ac:dyDescent="0.2">
      <c r="B129" s="740" t="s">
        <v>1607</v>
      </c>
      <c r="C129" s="732"/>
      <c r="D129" s="743" t="s">
        <v>3</v>
      </c>
      <c r="E129" s="734"/>
      <c r="F129" s="734"/>
      <c r="G129" s="734"/>
      <c r="H129" s="749">
        <v>380</v>
      </c>
    </row>
    <row r="130" spans="2:8" x14ac:dyDescent="0.2">
      <c r="B130" s="730"/>
      <c r="C130" s="732"/>
      <c r="D130" s="733"/>
      <c r="E130" s="734"/>
      <c r="F130" s="734"/>
      <c r="G130" s="734"/>
      <c r="H130" s="747"/>
    </row>
    <row r="131" spans="2:8" x14ac:dyDescent="0.2">
      <c r="B131" s="739" t="s">
        <v>1608</v>
      </c>
      <c r="C131" s="732"/>
      <c r="D131" s="733" t="s">
        <v>75</v>
      </c>
      <c r="E131" s="734"/>
      <c r="F131" s="734"/>
      <c r="G131" s="734"/>
      <c r="H131" s="749">
        <v>160</v>
      </c>
    </row>
    <row r="132" spans="2:8" x14ac:dyDescent="0.2">
      <c r="B132" s="739" t="s">
        <v>1609</v>
      </c>
      <c r="C132" s="732"/>
      <c r="D132" s="733" t="s">
        <v>75</v>
      </c>
      <c r="E132" s="734"/>
      <c r="F132" s="734"/>
      <c r="G132" s="734"/>
      <c r="H132" s="749">
        <v>6035</v>
      </c>
    </row>
    <row r="133" spans="2:8" x14ac:dyDescent="0.2">
      <c r="B133" s="739" t="s">
        <v>1610</v>
      </c>
      <c r="C133" s="732"/>
      <c r="D133" s="733" t="s">
        <v>75</v>
      </c>
      <c r="E133" s="734"/>
      <c r="F133" s="734"/>
      <c r="G133" s="734"/>
      <c r="H133" s="749">
        <v>120</v>
      </c>
    </row>
    <row r="134" spans="2:8" x14ac:dyDescent="0.2">
      <c r="B134" s="730"/>
      <c r="C134" s="732"/>
      <c r="D134" s="733"/>
      <c r="E134" s="734"/>
      <c r="F134" s="734"/>
      <c r="G134" s="734"/>
      <c r="H134" s="747"/>
    </row>
    <row r="135" spans="2:8" x14ac:dyDescent="0.2">
      <c r="B135" s="739" t="s">
        <v>1611</v>
      </c>
      <c r="C135" s="732"/>
      <c r="D135" s="727" t="s">
        <v>4</v>
      </c>
      <c r="E135" s="734"/>
      <c r="F135" s="734"/>
      <c r="G135" s="734"/>
      <c r="H135" s="749">
        <v>33.409999999999997</v>
      </c>
    </row>
    <row r="136" spans="2:8" x14ac:dyDescent="0.2">
      <c r="B136" s="739" t="s">
        <v>1563</v>
      </c>
      <c r="C136" s="732"/>
      <c r="D136" s="728" t="s">
        <v>4</v>
      </c>
      <c r="E136" s="734"/>
      <c r="F136" s="734"/>
      <c r="G136" s="734"/>
      <c r="H136" s="750">
        <v>45</v>
      </c>
    </row>
    <row r="137" spans="2:8" x14ac:dyDescent="0.2">
      <c r="B137" s="739" t="s">
        <v>1612</v>
      </c>
      <c r="C137" s="732"/>
      <c r="D137" s="728" t="s">
        <v>4</v>
      </c>
      <c r="E137" s="734"/>
      <c r="F137" s="734"/>
      <c r="G137" s="734"/>
      <c r="H137" s="750">
        <v>138</v>
      </c>
    </row>
    <row r="138" spans="2:8" x14ac:dyDescent="0.2">
      <c r="B138" s="739" t="s">
        <v>1613</v>
      </c>
      <c r="C138" s="732"/>
      <c r="D138" s="727" t="s">
        <v>1564</v>
      </c>
      <c r="E138" s="734"/>
      <c r="F138" s="734"/>
      <c r="G138" s="734"/>
      <c r="H138" s="749">
        <v>2800</v>
      </c>
    </row>
    <row r="139" spans="2:8" x14ac:dyDescent="0.2">
      <c r="B139" s="739" t="s">
        <v>1614</v>
      </c>
      <c r="C139" s="732"/>
      <c r="D139" s="727" t="s">
        <v>1564</v>
      </c>
      <c r="E139" s="734"/>
      <c r="F139" s="734"/>
      <c r="G139" s="734"/>
      <c r="H139" s="749">
        <v>3100</v>
      </c>
    </row>
    <row r="140" spans="2:8" x14ac:dyDescent="0.2">
      <c r="B140" s="739" t="s">
        <v>1615</v>
      </c>
      <c r="C140" s="732"/>
      <c r="D140" s="727" t="s">
        <v>1564</v>
      </c>
      <c r="E140" s="734"/>
      <c r="F140" s="734"/>
      <c r="G140" s="734"/>
      <c r="H140" s="749">
        <v>5000</v>
      </c>
    </row>
    <row r="141" spans="2:8" x14ac:dyDescent="0.2">
      <c r="B141" s="739" t="s">
        <v>1616</v>
      </c>
      <c r="C141" s="732"/>
      <c r="D141" s="727" t="s">
        <v>1564</v>
      </c>
      <c r="E141" s="734"/>
      <c r="F141" s="734"/>
      <c r="G141" s="734"/>
      <c r="H141" s="749">
        <v>570</v>
      </c>
    </row>
    <row r="142" spans="2:8" x14ac:dyDescent="0.2">
      <c r="B142" s="739" t="s">
        <v>1617</v>
      </c>
      <c r="C142" s="732"/>
      <c r="D142" s="727" t="s">
        <v>1618</v>
      </c>
      <c r="E142" s="734"/>
      <c r="F142" s="734"/>
      <c r="G142" s="734"/>
      <c r="H142" s="749">
        <v>1809</v>
      </c>
    </row>
    <row r="143" spans="2:8" x14ac:dyDescent="0.2">
      <c r="B143" s="739" t="s">
        <v>1611</v>
      </c>
      <c r="C143" s="732"/>
      <c r="D143" s="727" t="s">
        <v>4</v>
      </c>
      <c r="E143" s="734"/>
      <c r="F143" s="734"/>
      <c r="G143" s="734"/>
      <c r="H143" s="749">
        <v>33.409999999999997</v>
      </c>
    </row>
    <row r="144" spans="2:8" x14ac:dyDescent="0.2">
      <c r="B144" s="739" t="s">
        <v>1563</v>
      </c>
      <c r="C144" s="732"/>
      <c r="D144" s="728" t="s">
        <v>4</v>
      </c>
      <c r="E144" s="734"/>
      <c r="F144" s="734"/>
      <c r="G144" s="734"/>
      <c r="H144" s="750">
        <v>45</v>
      </c>
    </row>
    <row r="145" spans="2:8" x14ac:dyDescent="0.2">
      <c r="B145" s="739" t="s">
        <v>1612</v>
      </c>
      <c r="C145" s="732"/>
      <c r="D145" s="728" t="s">
        <v>4</v>
      </c>
      <c r="E145" s="734"/>
      <c r="F145" s="734"/>
      <c r="G145" s="734"/>
      <c r="H145" s="750">
        <v>138</v>
      </c>
    </row>
    <row r="146" spans="2:8" x14ac:dyDescent="0.2">
      <c r="B146" s="739" t="s">
        <v>1613</v>
      </c>
      <c r="C146" s="732"/>
      <c r="D146" s="727" t="s">
        <v>1564</v>
      </c>
      <c r="E146" s="734"/>
      <c r="F146" s="734"/>
      <c r="G146" s="734"/>
      <c r="H146" s="749">
        <v>2800</v>
      </c>
    </row>
    <row r="147" spans="2:8" x14ac:dyDescent="0.2">
      <c r="B147" s="739" t="s">
        <v>1616</v>
      </c>
      <c r="C147" s="732"/>
      <c r="D147" s="727" t="s">
        <v>1564</v>
      </c>
      <c r="E147" s="734"/>
      <c r="F147" s="734"/>
      <c r="G147" s="734"/>
      <c r="H147" s="749">
        <v>570</v>
      </c>
    </row>
    <row r="148" spans="2:8" x14ac:dyDescent="0.2">
      <c r="B148" s="739" t="s">
        <v>1617</v>
      </c>
      <c r="C148" s="732"/>
      <c r="D148" s="727" t="s">
        <v>1618</v>
      </c>
      <c r="E148" s="734"/>
      <c r="F148" s="734"/>
      <c r="G148" s="734"/>
      <c r="H148" s="749">
        <v>1809</v>
      </c>
    </row>
    <row r="149" spans="2:8" x14ac:dyDescent="0.2">
      <c r="B149" s="739" t="s">
        <v>1611</v>
      </c>
      <c r="C149" s="732"/>
      <c r="D149" s="727" t="s">
        <v>4</v>
      </c>
      <c r="E149" s="734"/>
      <c r="F149" s="734"/>
      <c r="G149" s="734"/>
      <c r="H149" s="749">
        <v>33.409999999999997</v>
      </c>
    </row>
    <row r="150" spans="2:8" x14ac:dyDescent="0.2">
      <c r="B150" s="739" t="s">
        <v>1563</v>
      </c>
      <c r="C150" s="732"/>
      <c r="D150" s="728" t="s">
        <v>4</v>
      </c>
      <c r="E150" s="734"/>
      <c r="F150" s="734"/>
      <c r="G150" s="734"/>
      <c r="H150" s="750">
        <v>45</v>
      </c>
    </row>
    <row r="151" spans="2:8" x14ac:dyDescent="0.2">
      <c r="B151" s="739" t="s">
        <v>1612</v>
      </c>
      <c r="C151" s="732"/>
      <c r="D151" s="728" t="s">
        <v>4</v>
      </c>
      <c r="E151" s="734"/>
      <c r="F151" s="734"/>
      <c r="G151" s="734"/>
      <c r="H151" s="750">
        <v>138</v>
      </c>
    </row>
    <row r="152" spans="2:8" x14ac:dyDescent="0.2">
      <c r="B152" s="739" t="s">
        <v>1613</v>
      </c>
      <c r="C152" s="732"/>
      <c r="D152" s="727" t="s">
        <v>1564</v>
      </c>
      <c r="E152" s="734"/>
      <c r="F152" s="734"/>
      <c r="G152" s="734"/>
      <c r="H152" s="749">
        <v>2800</v>
      </c>
    </row>
    <row r="153" spans="2:8" x14ac:dyDescent="0.2">
      <c r="B153" s="739" t="s">
        <v>1614</v>
      </c>
      <c r="C153" s="732"/>
      <c r="D153" s="727" t="s">
        <v>1564</v>
      </c>
      <c r="E153" s="734"/>
      <c r="F153" s="734"/>
      <c r="G153" s="734"/>
      <c r="H153" s="749">
        <v>3100</v>
      </c>
    </row>
    <row r="154" spans="2:8" x14ac:dyDescent="0.2">
      <c r="B154" s="739" t="s">
        <v>1616</v>
      </c>
      <c r="C154" s="732"/>
      <c r="D154" s="727" t="s">
        <v>1564</v>
      </c>
      <c r="E154" s="734"/>
      <c r="F154" s="734"/>
      <c r="G154" s="734"/>
      <c r="H154" s="749">
        <v>570</v>
      </c>
    </row>
    <row r="155" spans="2:8" x14ac:dyDescent="0.2">
      <c r="B155" s="739" t="s">
        <v>1617</v>
      </c>
      <c r="C155" s="732"/>
      <c r="D155" s="727" t="s">
        <v>1618</v>
      </c>
      <c r="E155" s="734"/>
      <c r="F155" s="734"/>
      <c r="G155" s="734"/>
      <c r="H155" s="749">
        <v>1809</v>
      </c>
    </row>
    <row r="156" spans="2:8" x14ac:dyDescent="0.2">
      <c r="B156" s="730"/>
      <c r="C156" s="732"/>
      <c r="D156" s="733"/>
      <c r="E156" s="734"/>
      <c r="F156" s="734"/>
      <c r="G156" s="734"/>
      <c r="H156" s="747"/>
    </row>
    <row r="157" spans="2:8" x14ac:dyDescent="0.2">
      <c r="B157" s="739" t="s">
        <v>1619</v>
      </c>
      <c r="C157" s="732"/>
      <c r="D157" s="727" t="s">
        <v>3</v>
      </c>
      <c r="E157" s="734"/>
      <c r="F157" s="734"/>
      <c r="G157" s="734"/>
      <c r="H157" s="749">
        <v>15</v>
      </c>
    </row>
    <row r="158" spans="2:8" x14ac:dyDescent="0.2">
      <c r="B158" s="739" t="s">
        <v>1571</v>
      </c>
      <c r="C158" s="732"/>
      <c r="D158" s="727" t="s">
        <v>9</v>
      </c>
      <c r="E158" s="734"/>
      <c r="F158" s="734"/>
      <c r="G158" s="734"/>
      <c r="H158" s="749">
        <v>2.8</v>
      </c>
    </row>
    <row r="159" spans="2:8" x14ac:dyDescent="0.2">
      <c r="B159" s="739" t="s">
        <v>1620</v>
      </c>
      <c r="C159" s="732"/>
      <c r="D159" s="727" t="s">
        <v>4</v>
      </c>
      <c r="E159" s="734"/>
      <c r="F159" s="734"/>
      <c r="G159" s="734"/>
      <c r="H159" s="749">
        <v>215</v>
      </c>
    </row>
    <row r="160" spans="2:8" x14ac:dyDescent="0.2">
      <c r="B160" s="739" t="s">
        <v>1621</v>
      </c>
      <c r="C160" s="732"/>
      <c r="D160" s="727" t="s">
        <v>4</v>
      </c>
      <c r="E160" s="734"/>
      <c r="F160" s="734"/>
      <c r="G160" s="734"/>
      <c r="H160" s="750">
        <v>195</v>
      </c>
    </row>
    <row r="161" spans="1:8" x14ac:dyDescent="0.2">
      <c r="B161" s="739" t="s">
        <v>1622</v>
      </c>
      <c r="C161" s="732"/>
      <c r="D161" s="727" t="s">
        <v>4</v>
      </c>
      <c r="E161" s="734"/>
      <c r="F161" s="734"/>
      <c r="G161" s="734"/>
      <c r="H161" s="749">
        <v>215</v>
      </c>
    </row>
    <row r="162" spans="1:8" ht="25.5" x14ac:dyDescent="0.2">
      <c r="B162" s="739" t="s">
        <v>1623</v>
      </c>
      <c r="C162" s="732"/>
      <c r="D162" s="727" t="s">
        <v>1564</v>
      </c>
      <c r="E162" s="734"/>
      <c r="F162" s="734"/>
      <c r="G162" s="734"/>
      <c r="H162" s="749">
        <v>15520</v>
      </c>
    </row>
    <row r="163" spans="1:8" x14ac:dyDescent="0.2">
      <c r="B163" s="739"/>
      <c r="C163" s="732"/>
      <c r="D163" s="727"/>
      <c r="E163" s="734"/>
      <c r="F163" s="734"/>
      <c r="G163" s="734"/>
      <c r="H163" s="749"/>
    </row>
    <row r="164" spans="1:8" x14ac:dyDescent="0.2">
      <c r="A164" s="754" t="s">
        <v>422</v>
      </c>
      <c r="B164" s="755"/>
      <c r="C164" s="756"/>
      <c r="D164" s="757"/>
      <c r="E164" s="756"/>
      <c r="F164" s="756"/>
      <c r="G164" s="756"/>
      <c r="H164" s="759"/>
    </row>
    <row r="165" spans="1:8" x14ac:dyDescent="0.2">
      <c r="B165" s="739" t="s">
        <v>1624</v>
      </c>
      <c r="C165" s="735"/>
      <c r="D165" s="733" t="s">
        <v>3</v>
      </c>
      <c r="F165" s="736"/>
      <c r="G165" s="734"/>
      <c r="H165" s="747">
        <v>495</v>
      </c>
    </row>
    <row r="166" spans="1:8" x14ac:dyDescent="0.2">
      <c r="B166" s="739" t="s">
        <v>1625</v>
      </c>
      <c r="C166" s="735"/>
      <c r="D166" s="733" t="s">
        <v>3</v>
      </c>
      <c r="F166" s="736"/>
      <c r="G166" s="734"/>
      <c r="H166" s="747">
        <v>550</v>
      </c>
    </row>
    <row r="167" spans="1:8" x14ac:dyDescent="0.2">
      <c r="B167" s="739" t="s">
        <v>1626</v>
      </c>
      <c r="C167" s="735"/>
      <c r="D167" s="733" t="s">
        <v>3</v>
      </c>
      <c r="F167" s="736"/>
      <c r="G167" s="734"/>
      <c r="H167" s="747">
        <v>85</v>
      </c>
    </row>
    <row r="168" spans="1:8" ht="25.5" x14ac:dyDescent="0.2">
      <c r="B168" s="739" t="s">
        <v>1627</v>
      </c>
      <c r="C168" s="735"/>
      <c r="D168" s="733" t="s">
        <v>3</v>
      </c>
      <c r="F168" s="736"/>
      <c r="G168" s="734"/>
      <c r="H168" s="747">
        <v>65</v>
      </c>
    </row>
    <row r="169" spans="1:8" x14ac:dyDescent="0.2">
      <c r="B169" s="739" t="s">
        <v>1628</v>
      </c>
      <c r="C169" s="735"/>
      <c r="D169" s="733" t="s">
        <v>3</v>
      </c>
      <c r="F169" s="736"/>
      <c r="G169" s="734"/>
      <c r="H169" s="747">
        <v>165</v>
      </c>
    </row>
    <row r="170" spans="1:8" x14ac:dyDescent="0.2">
      <c r="B170" s="739" t="s">
        <v>1629</v>
      </c>
      <c r="C170" s="735"/>
      <c r="D170" s="733" t="s">
        <v>3</v>
      </c>
      <c r="F170" s="736"/>
      <c r="G170" s="734"/>
      <c r="H170" s="747">
        <v>442.5</v>
      </c>
    </row>
    <row r="171" spans="1:8" x14ac:dyDescent="0.2">
      <c r="B171" s="739" t="s">
        <v>1630</v>
      </c>
      <c r="C171" s="735"/>
      <c r="D171" s="733" t="s">
        <v>3</v>
      </c>
      <c r="F171" s="736"/>
      <c r="G171" s="734"/>
      <c r="H171" s="747">
        <v>165</v>
      </c>
    </row>
    <row r="172" spans="1:8" x14ac:dyDescent="0.2">
      <c r="B172" s="739" t="s">
        <v>1631</v>
      </c>
      <c r="C172" s="735"/>
      <c r="D172" s="733" t="s">
        <v>75</v>
      </c>
      <c r="F172" s="736"/>
      <c r="G172" s="734"/>
      <c r="H172" s="747">
        <v>65</v>
      </c>
    </row>
    <row r="173" spans="1:8" x14ac:dyDescent="0.2">
      <c r="B173" s="739" t="s">
        <v>1632</v>
      </c>
      <c r="C173" s="735"/>
      <c r="D173" s="733" t="s">
        <v>3</v>
      </c>
      <c r="F173" s="736"/>
      <c r="G173" s="734"/>
      <c r="H173" s="747">
        <v>103.9</v>
      </c>
    </row>
    <row r="174" spans="1:8" x14ac:dyDescent="0.2">
      <c r="B174" s="739" t="s">
        <v>1632</v>
      </c>
      <c r="C174" s="735"/>
      <c r="D174" s="733" t="s">
        <v>3</v>
      </c>
      <c r="F174" s="736"/>
      <c r="G174" s="734"/>
      <c r="H174" s="747">
        <v>103.9</v>
      </c>
    </row>
    <row r="175" spans="1:8" x14ac:dyDescent="0.2">
      <c r="B175" s="739" t="s">
        <v>1633</v>
      </c>
      <c r="C175" s="735"/>
      <c r="D175" s="733" t="s">
        <v>3</v>
      </c>
      <c r="F175" s="736"/>
      <c r="G175" s="734"/>
      <c r="H175" s="747">
        <v>18.2</v>
      </c>
    </row>
    <row r="176" spans="1:8" x14ac:dyDescent="0.2">
      <c r="B176" s="739" t="s">
        <v>1634</v>
      </c>
      <c r="C176" s="735"/>
      <c r="D176" s="733" t="s">
        <v>3</v>
      </c>
      <c r="F176" s="736"/>
      <c r="G176" s="734"/>
      <c r="H176" s="747">
        <v>18.2</v>
      </c>
    </row>
    <row r="177" spans="1:8" x14ac:dyDescent="0.2">
      <c r="B177" s="739" t="s">
        <v>1635</v>
      </c>
      <c r="C177" s="735"/>
      <c r="D177" s="733" t="s">
        <v>3</v>
      </c>
      <c r="F177" s="736"/>
      <c r="G177" s="734"/>
      <c r="H177" s="747">
        <v>127</v>
      </c>
    </row>
    <row r="178" spans="1:8" x14ac:dyDescent="0.2">
      <c r="B178" s="739" t="s">
        <v>1636</v>
      </c>
      <c r="C178" s="735"/>
      <c r="D178" s="733" t="s">
        <v>1564</v>
      </c>
      <c r="F178" s="736"/>
      <c r="G178" s="734"/>
      <c r="H178" s="747">
        <v>4000</v>
      </c>
    </row>
    <row r="179" spans="1:8" x14ac:dyDescent="0.2">
      <c r="B179" s="739" t="s">
        <v>1637</v>
      </c>
      <c r="C179" s="735"/>
      <c r="D179" s="733" t="s">
        <v>3</v>
      </c>
      <c r="F179" s="736"/>
      <c r="G179" s="734"/>
      <c r="H179" s="747">
        <v>3</v>
      </c>
    </row>
    <row r="180" spans="1:8" x14ac:dyDescent="0.2">
      <c r="B180" s="739" t="s">
        <v>1638</v>
      </c>
      <c r="C180" s="735"/>
      <c r="D180" s="733" t="s">
        <v>3</v>
      </c>
      <c r="F180" s="736"/>
      <c r="G180" s="734"/>
      <c r="H180" s="747">
        <v>109</v>
      </c>
    </row>
    <row r="181" spans="1:8" x14ac:dyDescent="0.2">
      <c r="B181" s="739" t="s">
        <v>1639</v>
      </c>
      <c r="C181" s="735"/>
      <c r="D181" s="733" t="s">
        <v>1564</v>
      </c>
      <c r="F181" s="736"/>
      <c r="G181" s="734"/>
      <c r="H181" s="747">
        <v>300</v>
      </c>
    </row>
    <row r="182" spans="1:8" x14ac:dyDescent="0.2">
      <c r="B182" s="739"/>
      <c r="C182" s="735"/>
      <c r="D182" s="733"/>
      <c r="F182" s="736"/>
      <c r="G182" s="734"/>
      <c r="H182" s="747"/>
    </row>
    <row r="183" spans="1:8" x14ac:dyDescent="0.2">
      <c r="A183" s="754" t="s">
        <v>420</v>
      </c>
      <c r="B183" s="755"/>
      <c r="C183" s="756"/>
      <c r="D183" s="757"/>
      <c r="E183" s="756"/>
      <c r="F183" s="756"/>
      <c r="G183" s="756"/>
      <c r="H183" s="759"/>
    </row>
    <row r="184" spans="1:8" x14ac:dyDescent="0.2">
      <c r="B184" s="739" t="s">
        <v>1640</v>
      </c>
      <c r="C184" s="735"/>
      <c r="D184" s="733" t="s">
        <v>1641</v>
      </c>
      <c r="F184" s="736"/>
      <c r="G184" s="734"/>
      <c r="H184" s="748">
        <v>2500</v>
      </c>
    </row>
    <row r="185" spans="1:8" x14ac:dyDescent="0.2">
      <c r="B185" s="739" t="s">
        <v>1642</v>
      </c>
      <c r="C185" s="735"/>
      <c r="D185" s="733" t="s">
        <v>75</v>
      </c>
      <c r="F185" s="736"/>
      <c r="G185" s="734"/>
      <c r="H185" s="748">
        <v>1.22</v>
      </c>
    </row>
    <row r="186" spans="1:8" x14ac:dyDescent="0.2">
      <c r="B186" s="739" t="s">
        <v>1643</v>
      </c>
      <c r="C186" s="735"/>
      <c r="D186" s="733" t="s">
        <v>75</v>
      </c>
      <c r="F186" s="736"/>
      <c r="G186" s="734"/>
      <c r="H186" s="748">
        <v>1.38</v>
      </c>
    </row>
    <row r="187" spans="1:8" x14ac:dyDescent="0.2">
      <c r="B187" s="739" t="s">
        <v>1644</v>
      </c>
      <c r="C187" s="735"/>
      <c r="D187" s="733" t="s">
        <v>75</v>
      </c>
      <c r="F187" s="736"/>
      <c r="G187" s="734"/>
      <c r="H187" s="748">
        <v>1.89</v>
      </c>
    </row>
    <row r="188" spans="1:8" x14ac:dyDescent="0.2">
      <c r="B188" s="739" t="s">
        <v>1645</v>
      </c>
      <c r="C188" s="735"/>
      <c r="D188" s="733" t="s">
        <v>75</v>
      </c>
      <c r="F188" s="736"/>
      <c r="G188" s="734"/>
      <c r="H188" s="748">
        <v>1.65</v>
      </c>
    </row>
    <row r="189" spans="1:8" x14ac:dyDescent="0.2">
      <c r="B189" s="739" t="s">
        <v>1646</v>
      </c>
      <c r="C189" s="735"/>
      <c r="D189" s="733" t="s">
        <v>75</v>
      </c>
      <c r="F189" s="736"/>
      <c r="G189" s="734"/>
      <c r="H189" s="748">
        <v>5.5</v>
      </c>
    </row>
    <row r="190" spans="1:8" x14ac:dyDescent="0.2">
      <c r="B190" s="739" t="s">
        <v>1647</v>
      </c>
      <c r="C190" s="735"/>
      <c r="D190" s="733" t="s">
        <v>75</v>
      </c>
      <c r="F190" s="736"/>
      <c r="G190" s="734"/>
      <c r="H190" s="748">
        <v>2.2000000000000002</v>
      </c>
    </row>
    <row r="191" spans="1:8" x14ac:dyDescent="0.2">
      <c r="B191" s="739" t="s">
        <v>1648</v>
      </c>
      <c r="C191" s="735"/>
      <c r="D191" s="733" t="s">
        <v>75</v>
      </c>
      <c r="F191" s="736"/>
      <c r="G191" s="734"/>
      <c r="H191" s="748">
        <v>1.8</v>
      </c>
    </row>
    <row r="192" spans="1:8" x14ac:dyDescent="0.2">
      <c r="B192" s="739" t="s">
        <v>1649</v>
      </c>
      <c r="C192" s="735"/>
      <c r="D192" s="733" t="s">
        <v>75</v>
      </c>
      <c r="F192" s="736"/>
      <c r="G192" s="734"/>
      <c r="H192" s="748">
        <v>3.1</v>
      </c>
    </row>
    <row r="193" spans="2:8" x14ac:dyDescent="0.2">
      <c r="B193" s="739" t="s">
        <v>1650</v>
      </c>
      <c r="C193" s="735"/>
      <c r="D193" s="733" t="s">
        <v>1564</v>
      </c>
      <c r="F193" s="736"/>
      <c r="G193" s="734"/>
      <c r="H193" s="748">
        <v>285</v>
      </c>
    </row>
    <row r="194" spans="2:8" x14ac:dyDescent="0.2">
      <c r="B194" s="739" t="s">
        <v>1651</v>
      </c>
      <c r="C194" s="735"/>
      <c r="D194" s="733" t="s">
        <v>1564</v>
      </c>
      <c r="F194" s="736"/>
      <c r="G194" s="734"/>
      <c r="H194" s="748">
        <v>272.72000000000003</v>
      </c>
    </row>
    <row r="195" spans="2:8" x14ac:dyDescent="0.2">
      <c r="B195" s="739" t="s">
        <v>1652</v>
      </c>
      <c r="C195" s="735"/>
      <c r="D195" s="733" t="s">
        <v>1564</v>
      </c>
      <c r="F195" s="736"/>
      <c r="G195" s="734"/>
      <c r="H195" s="748">
        <v>215</v>
      </c>
    </row>
    <row r="196" spans="2:8" x14ac:dyDescent="0.2">
      <c r="B196" s="739" t="s">
        <v>1653</v>
      </c>
      <c r="C196" s="735"/>
      <c r="D196" s="733" t="s">
        <v>1564</v>
      </c>
      <c r="F196" s="736"/>
      <c r="G196" s="734"/>
      <c r="H196" s="748">
        <v>80</v>
      </c>
    </row>
    <row r="197" spans="2:8" x14ac:dyDescent="0.2">
      <c r="B197" s="739" t="s">
        <v>1654</v>
      </c>
      <c r="C197" s="735"/>
      <c r="D197" s="733" t="s">
        <v>1564</v>
      </c>
      <c r="F197" s="736"/>
      <c r="G197" s="734"/>
      <c r="H197" s="748">
        <v>81.16</v>
      </c>
    </row>
    <row r="198" spans="2:8" x14ac:dyDescent="0.2">
      <c r="B198" s="739" t="s">
        <v>1655</v>
      </c>
      <c r="C198" s="735"/>
      <c r="D198" s="733" t="s">
        <v>1564</v>
      </c>
      <c r="F198" s="736"/>
      <c r="G198" s="734"/>
      <c r="H198" s="748">
        <v>38.5</v>
      </c>
    </row>
    <row r="199" spans="2:8" x14ac:dyDescent="0.2">
      <c r="B199" s="739" t="s">
        <v>1656</v>
      </c>
      <c r="C199" s="735"/>
      <c r="D199" s="733" t="s">
        <v>1564</v>
      </c>
      <c r="F199" s="736"/>
      <c r="G199" s="734"/>
      <c r="H199" s="748">
        <v>85</v>
      </c>
    </row>
    <row r="200" spans="2:8" x14ac:dyDescent="0.2">
      <c r="B200" s="739" t="s">
        <v>1657</v>
      </c>
      <c r="C200" s="735"/>
      <c r="D200" s="733" t="s">
        <v>1564</v>
      </c>
      <c r="F200" s="736"/>
      <c r="G200" s="734"/>
      <c r="H200" s="748">
        <v>128</v>
      </c>
    </row>
    <row r="201" spans="2:8" x14ac:dyDescent="0.2">
      <c r="B201" s="739" t="s">
        <v>1658</v>
      </c>
      <c r="C201" s="735"/>
      <c r="D201" s="733" t="s">
        <v>1564</v>
      </c>
      <c r="F201" s="736"/>
      <c r="G201" s="734"/>
      <c r="H201" s="748">
        <v>1.71</v>
      </c>
    </row>
    <row r="202" spans="2:8" x14ac:dyDescent="0.2">
      <c r="B202" s="739" t="s">
        <v>1659</v>
      </c>
      <c r="C202" s="735"/>
      <c r="D202" s="733" t="s">
        <v>1564</v>
      </c>
      <c r="F202" s="736"/>
      <c r="G202" s="734"/>
      <c r="H202" s="748">
        <v>8.8000000000000007</v>
      </c>
    </row>
    <row r="203" spans="2:8" x14ac:dyDescent="0.2">
      <c r="B203" s="739" t="s">
        <v>1660</v>
      </c>
      <c r="C203" s="735"/>
      <c r="D203" s="733" t="s">
        <v>1564</v>
      </c>
      <c r="F203" s="736"/>
      <c r="G203" s="734"/>
      <c r="H203" s="748">
        <v>10.199999999999999</v>
      </c>
    </row>
    <row r="204" spans="2:8" x14ac:dyDescent="0.2">
      <c r="B204" s="739" t="s">
        <v>1661</v>
      </c>
      <c r="C204" s="735"/>
      <c r="D204" s="733" t="s">
        <v>1564</v>
      </c>
      <c r="F204" s="736"/>
      <c r="G204" s="734"/>
      <c r="H204" s="748">
        <v>0.3</v>
      </c>
    </row>
    <row r="205" spans="2:8" x14ac:dyDescent="0.2">
      <c r="B205" s="739" t="s">
        <v>1662</v>
      </c>
      <c r="C205" s="735"/>
      <c r="D205" s="733" t="s">
        <v>1641</v>
      </c>
      <c r="F205" s="736"/>
      <c r="G205" s="734"/>
      <c r="H205" s="748">
        <v>1230</v>
      </c>
    </row>
    <row r="206" spans="2:8" x14ac:dyDescent="0.2">
      <c r="B206" s="739" t="s">
        <v>1663</v>
      </c>
      <c r="C206" s="735"/>
      <c r="D206" s="733" t="s">
        <v>4</v>
      </c>
      <c r="F206" s="736"/>
      <c r="G206" s="734"/>
      <c r="H206" s="748">
        <v>47</v>
      </c>
    </row>
    <row r="207" spans="2:8" x14ac:dyDescent="0.2">
      <c r="B207" s="739" t="s">
        <v>1664</v>
      </c>
      <c r="C207" s="735"/>
      <c r="D207" s="733" t="s">
        <v>1584</v>
      </c>
      <c r="F207" s="736"/>
      <c r="G207" s="734"/>
      <c r="H207" s="748">
        <v>18.2</v>
      </c>
    </row>
    <row r="208" spans="2:8" x14ac:dyDescent="0.2">
      <c r="B208" s="739" t="s">
        <v>1665</v>
      </c>
      <c r="C208" s="735"/>
      <c r="D208" s="733" t="s">
        <v>1584</v>
      </c>
      <c r="F208" s="736"/>
      <c r="G208" s="734"/>
      <c r="H208" s="748">
        <v>20.3</v>
      </c>
    </row>
    <row r="209" spans="2:8" x14ac:dyDescent="0.2">
      <c r="B209" s="739" t="s">
        <v>1666</v>
      </c>
      <c r="C209" s="735"/>
      <c r="D209" s="733" t="s">
        <v>75</v>
      </c>
      <c r="F209" s="736"/>
      <c r="G209" s="734"/>
      <c r="H209" s="748">
        <v>23</v>
      </c>
    </row>
    <row r="210" spans="2:8" x14ac:dyDescent="0.2">
      <c r="B210" s="739" t="s">
        <v>1667</v>
      </c>
      <c r="C210" s="735"/>
      <c r="D210" s="733" t="s">
        <v>75</v>
      </c>
      <c r="F210" s="736"/>
      <c r="G210" s="734"/>
      <c r="H210" s="748">
        <v>21</v>
      </c>
    </row>
    <row r="211" spans="2:8" x14ac:dyDescent="0.2">
      <c r="B211" s="739" t="s">
        <v>1668</v>
      </c>
      <c r="C211" s="735"/>
      <c r="D211" s="733" t="s">
        <v>1564</v>
      </c>
      <c r="F211" s="736"/>
      <c r="G211" s="734"/>
      <c r="H211" s="748">
        <v>44.45</v>
      </c>
    </row>
    <row r="212" spans="2:8" x14ac:dyDescent="0.2">
      <c r="B212" s="730"/>
      <c r="C212" s="735"/>
      <c r="D212" s="733"/>
      <c r="F212" s="736"/>
      <c r="G212" s="734"/>
      <c r="H212" s="748"/>
    </row>
    <row r="213" spans="2:8" x14ac:dyDescent="0.2">
      <c r="B213" s="740" t="s">
        <v>1669</v>
      </c>
      <c r="C213" s="735"/>
      <c r="D213" s="733" t="s">
        <v>3</v>
      </c>
      <c r="E213" s="741"/>
      <c r="F213" s="736"/>
      <c r="G213" s="734"/>
      <c r="H213" s="749">
        <v>185</v>
      </c>
    </row>
    <row r="214" spans="2:8" x14ac:dyDescent="0.2">
      <c r="B214" s="730"/>
      <c r="C214" s="735"/>
      <c r="D214" s="733"/>
      <c r="F214" s="736"/>
      <c r="G214" s="734"/>
      <c r="H214" s="748"/>
    </row>
    <row r="215" spans="2:8" x14ac:dyDescent="0.2">
      <c r="B215" s="739" t="s">
        <v>1670</v>
      </c>
      <c r="C215" s="735"/>
      <c r="D215" s="733" t="s">
        <v>1671</v>
      </c>
      <c r="F215" s="736"/>
      <c r="G215" s="734"/>
      <c r="H215" s="749">
        <v>20050</v>
      </c>
    </row>
    <row r="216" spans="2:8" x14ac:dyDescent="0.2">
      <c r="B216" s="739" t="s">
        <v>1672</v>
      </c>
      <c r="C216" s="735"/>
      <c r="D216" s="733" t="s">
        <v>1673</v>
      </c>
      <c r="F216" s="736"/>
      <c r="G216" s="734"/>
      <c r="H216" s="749">
        <v>4800</v>
      </c>
    </row>
    <row r="217" spans="2:8" x14ac:dyDescent="0.2">
      <c r="B217" s="730"/>
      <c r="C217" s="735"/>
      <c r="D217" s="733"/>
      <c r="F217" s="736"/>
      <c r="G217" s="734"/>
      <c r="H217" s="748"/>
    </row>
    <row r="218" spans="2:8" x14ac:dyDescent="0.2">
      <c r="B218" s="739" t="s">
        <v>1674</v>
      </c>
      <c r="C218" s="735"/>
      <c r="D218" s="727" t="s">
        <v>4</v>
      </c>
      <c r="F218" s="736"/>
      <c r="G218" s="734"/>
      <c r="H218" s="748">
        <v>47</v>
      </c>
    </row>
    <row r="219" spans="2:8" x14ac:dyDescent="0.2">
      <c r="B219" s="751" t="s">
        <v>1675</v>
      </c>
      <c r="C219" s="735"/>
      <c r="D219" s="728" t="s">
        <v>75</v>
      </c>
      <c r="F219" s="736"/>
      <c r="G219" s="734"/>
      <c r="H219" s="748">
        <v>32.299999999999997</v>
      </c>
    </row>
    <row r="220" spans="2:8" x14ac:dyDescent="0.2">
      <c r="B220" s="751" t="s">
        <v>1676</v>
      </c>
      <c r="C220" s="735"/>
      <c r="D220" s="728" t="s">
        <v>4</v>
      </c>
      <c r="F220" s="736"/>
      <c r="G220" s="734"/>
      <c r="H220" s="748">
        <v>55</v>
      </c>
    </row>
    <row r="221" spans="2:8" x14ac:dyDescent="0.2">
      <c r="B221" s="751" t="s">
        <v>1677</v>
      </c>
      <c r="C221" s="735"/>
      <c r="D221" s="728" t="s">
        <v>1564</v>
      </c>
      <c r="F221" s="736"/>
      <c r="G221" s="734"/>
      <c r="H221" s="748">
        <v>5480</v>
      </c>
    </row>
    <row r="222" spans="2:8" x14ac:dyDescent="0.2">
      <c r="B222" s="751" t="s">
        <v>1678</v>
      </c>
      <c r="C222" s="735"/>
      <c r="D222" s="728" t="s">
        <v>4</v>
      </c>
      <c r="F222" s="736"/>
      <c r="G222" s="734"/>
      <c r="H222" s="748">
        <v>220</v>
      </c>
    </row>
    <row r="223" spans="2:8" x14ac:dyDescent="0.2">
      <c r="B223" s="751" t="s">
        <v>1679</v>
      </c>
      <c r="C223" s="735"/>
      <c r="D223" s="728" t="s">
        <v>1564</v>
      </c>
      <c r="F223" s="736"/>
      <c r="G223" s="734"/>
      <c r="H223" s="748">
        <v>480</v>
      </c>
    </row>
    <row r="224" spans="2:8" x14ac:dyDescent="0.2">
      <c r="B224" s="751" t="s">
        <v>1680</v>
      </c>
      <c r="C224" s="735"/>
      <c r="D224" s="728" t="s">
        <v>1564</v>
      </c>
      <c r="F224" s="736"/>
      <c r="G224" s="734"/>
      <c r="H224" s="748">
        <v>440</v>
      </c>
    </row>
    <row r="225" spans="1:8" x14ac:dyDescent="0.2">
      <c r="B225" s="751" t="s">
        <v>1681</v>
      </c>
      <c r="C225" s="735"/>
      <c r="D225" s="728" t="s">
        <v>1564</v>
      </c>
      <c r="F225" s="736"/>
      <c r="G225" s="734"/>
      <c r="H225" s="748">
        <v>210</v>
      </c>
    </row>
    <row r="226" spans="1:8" x14ac:dyDescent="0.2">
      <c r="B226" s="751" t="s">
        <v>1682</v>
      </c>
      <c r="C226" s="735"/>
      <c r="D226" s="728" t="s">
        <v>1564</v>
      </c>
      <c r="F226" s="736"/>
      <c r="G226" s="734"/>
      <c r="H226" s="748">
        <v>210</v>
      </c>
    </row>
    <row r="227" spans="1:8" x14ac:dyDescent="0.2">
      <c r="B227" s="751" t="s">
        <v>1683</v>
      </c>
      <c r="C227" s="735"/>
      <c r="D227" s="728" t="s">
        <v>1564</v>
      </c>
      <c r="F227" s="736"/>
      <c r="G227" s="734"/>
      <c r="H227" s="748">
        <v>980</v>
      </c>
    </row>
    <row r="228" spans="1:8" x14ac:dyDescent="0.2">
      <c r="B228" s="751" t="s">
        <v>1684</v>
      </c>
      <c r="C228" s="735"/>
      <c r="D228" s="728" t="s">
        <v>859</v>
      </c>
      <c r="F228" s="736"/>
      <c r="G228" s="734"/>
      <c r="H228" s="748">
        <v>450</v>
      </c>
    </row>
    <row r="229" spans="1:8" x14ac:dyDescent="0.2">
      <c r="B229" s="751" t="s">
        <v>1685</v>
      </c>
      <c r="C229" s="735"/>
      <c r="D229" s="728" t="s">
        <v>1564</v>
      </c>
      <c r="F229" s="736"/>
      <c r="G229" s="734"/>
      <c r="H229" s="748">
        <v>856</v>
      </c>
    </row>
    <row r="230" spans="1:8" x14ac:dyDescent="0.2">
      <c r="B230" s="739" t="s">
        <v>1686</v>
      </c>
      <c r="C230" s="735"/>
      <c r="D230" s="728" t="s">
        <v>859</v>
      </c>
      <c r="F230" s="736"/>
      <c r="G230" s="734"/>
      <c r="H230" s="748">
        <v>2105</v>
      </c>
    </row>
    <row r="231" spans="1:8" x14ac:dyDescent="0.2">
      <c r="B231" s="751" t="s">
        <v>1687</v>
      </c>
      <c r="C231" s="735"/>
      <c r="D231" s="728" t="s">
        <v>1564</v>
      </c>
      <c r="F231" s="736"/>
      <c r="G231" s="734"/>
      <c r="H231" s="748">
        <v>2680</v>
      </c>
    </row>
    <row r="232" spans="1:8" x14ac:dyDescent="0.2">
      <c r="C232" s="735"/>
      <c r="D232" s="728"/>
      <c r="F232" s="736"/>
      <c r="G232" s="734"/>
      <c r="H232" s="748"/>
    </row>
    <row r="233" spans="1:8" x14ac:dyDescent="0.2">
      <c r="A233" s="754" t="s">
        <v>1753</v>
      </c>
      <c r="B233" s="755"/>
      <c r="C233" s="756"/>
      <c r="D233" s="757"/>
      <c r="E233" s="756"/>
      <c r="F233" s="756"/>
      <c r="G233" s="756"/>
      <c r="H233" s="759"/>
    </row>
    <row r="234" spans="1:8" x14ac:dyDescent="0.2">
      <c r="B234" s="739" t="s">
        <v>1688</v>
      </c>
      <c r="C234" s="735"/>
      <c r="D234" s="731" t="s">
        <v>75</v>
      </c>
      <c r="F234" s="736"/>
      <c r="G234" s="734"/>
      <c r="H234" s="748">
        <v>15.4</v>
      </c>
    </row>
    <row r="235" spans="1:8" x14ac:dyDescent="0.2">
      <c r="B235" s="739" t="s">
        <v>1689</v>
      </c>
      <c r="C235" s="735"/>
      <c r="D235" s="731" t="s">
        <v>75</v>
      </c>
      <c r="F235" s="736"/>
      <c r="G235" s="734"/>
      <c r="H235" s="748">
        <v>30</v>
      </c>
    </row>
    <row r="236" spans="1:8" x14ac:dyDescent="0.2">
      <c r="B236" s="739" t="s">
        <v>1688</v>
      </c>
      <c r="C236" s="735"/>
      <c r="D236" s="731" t="s">
        <v>75</v>
      </c>
      <c r="F236" s="736"/>
      <c r="G236" s="734"/>
      <c r="H236" s="748">
        <v>15.4</v>
      </c>
    </row>
    <row r="237" spans="1:8" x14ac:dyDescent="0.2">
      <c r="B237" s="739" t="s">
        <v>1690</v>
      </c>
      <c r="C237" s="735"/>
      <c r="D237" s="731" t="s">
        <v>75</v>
      </c>
      <c r="F237" s="736"/>
      <c r="G237" s="734"/>
      <c r="H237" s="748">
        <v>8.68</v>
      </c>
    </row>
    <row r="238" spans="1:8" x14ac:dyDescent="0.2">
      <c r="B238" s="739" t="s">
        <v>1691</v>
      </c>
      <c r="C238" s="735"/>
      <c r="D238" s="731" t="s">
        <v>1564</v>
      </c>
      <c r="F238" s="736"/>
      <c r="G238" s="734"/>
      <c r="H238" s="748">
        <v>4060</v>
      </c>
    </row>
    <row r="239" spans="1:8" x14ac:dyDescent="0.2">
      <c r="B239" s="739" t="s">
        <v>1692</v>
      </c>
      <c r="C239" s="735"/>
      <c r="D239" s="731" t="s">
        <v>1564</v>
      </c>
      <c r="F239" s="736"/>
      <c r="G239" s="734"/>
      <c r="H239" s="748">
        <v>2576</v>
      </c>
    </row>
    <row r="240" spans="1:8" x14ac:dyDescent="0.2">
      <c r="B240" s="739" t="s">
        <v>1693</v>
      </c>
      <c r="C240" s="735"/>
      <c r="D240" s="731" t="s">
        <v>75</v>
      </c>
      <c r="F240" s="736"/>
      <c r="G240" s="734"/>
      <c r="H240" s="748">
        <v>8</v>
      </c>
    </row>
    <row r="241" spans="2:8" x14ac:dyDescent="0.2">
      <c r="B241" s="739" t="s">
        <v>1694</v>
      </c>
      <c r="C241" s="735"/>
      <c r="D241" s="731" t="s">
        <v>9</v>
      </c>
      <c r="F241" s="736"/>
      <c r="G241" s="734"/>
      <c r="H241" s="748">
        <v>18.2</v>
      </c>
    </row>
    <row r="242" spans="2:8" x14ac:dyDescent="0.2">
      <c r="B242" s="739" t="s">
        <v>1695</v>
      </c>
      <c r="C242" s="735"/>
      <c r="D242" s="731" t="s">
        <v>1564</v>
      </c>
      <c r="F242" s="736"/>
      <c r="G242" s="734"/>
      <c r="H242" s="748">
        <v>7.9</v>
      </c>
    </row>
    <row r="243" spans="2:8" x14ac:dyDescent="0.2">
      <c r="B243" s="739" t="s">
        <v>1696</v>
      </c>
      <c r="C243" s="735"/>
      <c r="D243" s="731" t="s">
        <v>1564</v>
      </c>
      <c r="F243" s="736"/>
      <c r="G243" s="734"/>
      <c r="H243" s="748">
        <v>810</v>
      </c>
    </row>
    <row r="244" spans="2:8" x14ac:dyDescent="0.2">
      <c r="B244" s="739" t="s">
        <v>1697</v>
      </c>
      <c r="C244" s="735"/>
      <c r="D244" s="731" t="s">
        <v>1564</v>
      </c>
      <c r="F244" s="736"/>
      <c r="G244" s="734"/>
      <c r="H244" s="748">
        <v>32</v>
      </c>
    </row>
    <row r="245" spans="2:8" x14ac:dyDescent="0.2">
      <c r="B245" s="739" t="s">
        <v>1698</v>
      </c>
      <c r="C245" s="735"/>
      <c r="D245" s="731" t="s">
        <v>1564</v>
      </c>
      <c r="F245" s="736"/>
      <c r="G245" s="734"/>
      <c r="H245" s="748">
        <v>36</v>
      </c>
    </row>
    <row r="246" spans="2:8" x14ac:dyDescent="0.2">
      <c r="B246" s="739" t="s">
        <v>1699</v>
      </c>
      <c r="C246" s="735"/>
      <c r="D246" s="731" t="s">
        <v>1564</v>
      </c>
      <c r="F246" s="736"/>
      <c r="G246" s="734"/>
      <c r="H246" s="748">
        <v>84</v>
      </c>
    </row>
    <row r="247" spans="2:8" x14ac:dyDescent="0.2">
      <c r="B247" s="739" t="s">
        <v>1700</v>
      </c>
      <c r="C247" s="735"/>
      <c r="D247" s="731" t="s">
        <v>75</v>
      </c>
      <c r="F247" s="736"/>
      <c r="G247" s="734"/>
      <c r="H247" s="748">
        <v>9.5</v>
      </c>
    </row>
    <row r="248" spans="2:8" x14ac:dyDescent="0.2">
      <c r="B248" s="739" t="s">
        <v>1701</v>
      </c>
      <c r="C248" s="735"/>
      <c r="D248" s="731" t="s">
        <v>1564</v>
      </c>
      <c r="F248" s="736"/>
      <c r="G248" s="734"/>
      <c r="H248" s="748">
        <v>8</v>
      </c>
    </row>
    <row r="249" spans="2:8" x14ac:dyDescent="0.2">
      <c r="B249" s="739" t="s">
        <v>1702</v>
      </c>
      <c r="C249" s="735"/>
      <c r="D249" s="731" t="s">
        <v>75</v>
      </c>
      <c r="F249" s="736"/>
      <c r="G249" s="734"/>
      <c r="H249" s="748">
        <v>4</v>
      </c>
    </row>
    <row r="250" spans="2:8" x14ac:dyDescent="0.2">
      <c r="B250" s="739" t="s">
        <v>1703</v>
      </c>
      <c r="C250" s="735"/>
      <c r="D250" s="731" t="s">
        <v>75</v>
      </c>
      <c r="F250" s="736"/>
      <c r="G250" s="734"/>
      <c r="H250" s="748">
        <v>21.5</v>
      </c>
    </row>
    <row r="251" spans="2:8" x14ac:dyDescent="0.2">
      <c r="B251" s="739" t="s">
        <v>1704</v>
      </c>
      <c r="C251" s="735"/>
      <c r="D251" s="731" t="s">
        <v>1564</v>
      </c>
      <c r="F251" s="736"/>
      <c r="G251" s="734"/>
      <c r="H251" s="748">
        <v>98</v>
      </c>
    </row>
    <row r="252" spans="2:8" x14ac:dyDescent="0.2">
      <c r="B252" s="739" t="s">
        <v>1705</v>
      </c>
      <c r="C252" s="735"/>
      <c r="D252" s="731" t="s">
        <v>1564</v>
      </c>
      <c r="F252" s="736"/>
      <c r="G252" s="734"/>
      <c r="H252" s="748">
        <v>48</v>
      </c>
    </row>
    <row r="253" spans="2:8" ht="25.5" x14ac:dyDescent="0.2">
      <c r="B253" s="739" t="s">
        <v>1706</v>
      </c>
      <c r="C253" s="735"/>
      <c r="D253" s="731" t="s">
        <v>1564</v>
      </c>
      <c r="F253" s="736"/>
      <c r="G253" s="734"/>
      <c r="H253" s="748">
        <v>1083</v>
      </c>
    </row>
    <row r="254" spans="2:8" x14ac:dyDescent="0.2">
      <c r="B254" s="739" t="s">
        <v>1707</v>
      </c>
      <c r="C254" s="735"/>
      <c r="D254" s="731" t="s">
        <v>1708</v>
      </c>
      <c r="F254" s="736"/>
      <c r="G254" s="734"/>
      <c r="H254" s="748">
        <v>25</v>
      </c>
    </row>
    <row r="255" spans="2:8" ht="25.5" x14ac:dyDescent="0.2">
      <c r="B255" s="739" t="s">
        <v>1709</v>
      </c>
      <c r="C255" s="735"/>
      <c r="D255" s="731" t="s">
        <v>75</v>
      </c>
      <c r="F255" s="736"/>
      <c r="G255" s="734"/>
      <c r="H255" s="748">
        <v>45</v>
      </c>
    </row>
    <row r="256" spans="2:8" ht="25.5" x14ac:dyDescent="0.2">
      <c r="B256" s="739" t="s">
        <v>1755</v>
      </c>
      <c r="C256" s="735"/>
      <c r="D256" s="731" t="s">
        <v>4</v>
      </c>
      <c r="F256" s="736"/>
      <c r="G256" s="734"/>
      <c r="H256" s="748">
        <v>215</v>
      </c>
    </row>
    <row r="257" spans="2:8" x14ac:dyDescent="0.2">
      <c r="B257" s="739" t="s">
        <v>1710</v>
      </c>
      <c r="C257" s="735"/>
      <c r="D257" s="731" t="s">
        <v>1564</v>
      </c>
      <c r="F257" s="736"/>
      <c r="G257" s="734"/>
      <c r="H257" s="748">
        <v>255</v>
      </c>
    </row>
    <row r="258" spans="2:8" x14ac:dyDescent="0.2">
      <c r="B258" s="739" t="s">
        <v>1711</v>
      </c>
      <c r="C258" s="735"/>
      <c r="D258" s="731" t="s">
        <v>1564</v>
      </c>
      <c r="F258" s="736"/>
      <c r="G258" s="734"/>
      <c r="H258" s="748">
        <v>65</v>
      </c>
    </row>
    <row r="259" spans="2:8" x14ac:dyDescent="0.2">
      <c r="B259" s="739" t="s">
        <v>1712</v>
      </c>
      <c r="C259" s="735"/>
      <c r="D259" s="731" t="s">
        <v>1564</v>
      </c>
      <c r="F259" s="736"/>
      <c r="G259" s="734"/>
      <c r="H259" s="748">
        <v>558</v>
      </c>
    </row>
    <row r="260" spans="2:8" x14ac:dyDescent="0.2">
      <c r="B260" s="739" t="s">
        <v>1713</v>
      </c>
      <c r="C260" s="735"/>
      <c r="D260" s="731" t="s">
        <v>1564</v>
      </c>
      <c r="F260" s="736"/>
      <c r="G260" s="734"/>
      <c r="H260" s="748">
        <v>425</v>
      </c>
    </row>
    <row r="261" spans="2:8" x14ac:dyDescent="0.2">
      <c r="B261" s="739" t="s">
        <v>1714</v>
      </c>
      <c r="C261" s="735"/>
      <c r="D261" s="731" t="s">
        <v>1564</v>
      </c>
      <c r="F261" s="736"/>
      <c r="G261" s="734"/>
      <c r="H261" s="748">
        <v>115</v>
      </c>
    </row>
    <row r="262" spans="2:8" x14ac:dyDescent="0.2">
      <c r="B262" s="739" t="s">
        <v>1715</v>
      </c>
      <c r="C262" s="735"/>
      <c r="D262" s="731" t="s">
        <v>1641</v>
      </c>
      <c r="F262" s="736"/>
      <c r="G262" s="734"/>
      <c r="H262" s="748">
        <v>1500</v>
      </c>
    </row>
    <row r="263" spans="2:8" x14ac:dyDescent="0.2">
      <c r="B263" s="739" t="s">
        <v>1716</v>
      </c>
      <c r="C263" s="735"/>
      <c r="D263" s="731" t="s">
        <v>75</v>
      </c>
      <c r="F263" s="736"/>
      <c r="G263" s="734"/>
      <c r="H263" s="748">
        <v>189</v>
      </c>
    </row>
    <row r="264" spans="2:8" x14ac:dyDescent="0.2">
      <c r="B264" s="739" t="s">
        <v>1717</v>
      </c>
      <c r="C264" s="735"/>
      <c r="D264" s="731" t="s">
        <v>75</v>
      </c>
      <c r="F264" s="736"/>
      <c r="G264" s="734"/>
      <c r="H264" s="748">
        <v>38</v>
      </c>
    </row>
    <row r="265" spans="2:8" x14ac:dyDescent="0.2">
      <c r="B265" s="739" t="s">
        <v>1718</v>
      </c>
      <c r="C265" s="735"/>
      <c r="D265" s="731" t="s">
        <v>1584</v>
      </c>
      <c r="F265" s="736"/>
      <c r="G265" s="734"/>
      <c r="H265" s="748">
        <v>8</v>
      </c>
    </row>
    <row r="266" spans="2:8" x14ac:dyDescent="0.2">
      <c r="B266" s="739" t="s">
        <v>1699</v>
      </c>
      <c r="C266" s="735"/>
      <c r="D266" s="731" t="s">
        <v>1564</v>
      </c>
      <c r="F266" s="736"/>
      <c r="G266" s="734"/>
      <c r="H266" s="748">
        <v>75</v>
      </c>
    </row>
    <row r="267" spans="2:8" x14ac:dyDescent="0.2">
      <c r="B267" s="739" t="s">
        <v>1719</v>
      </c>
      <c r="C267" s="735"/>
      <c r="D267" s="731" t="s">
        <v>75</v>
      </c>
      <c r="F267" s="736"/>
      <c r="G267" s="734"/>
      <c r="H267" s="748">
        <v>13.4</v>
      </c>
    </row>
    <row r="268" spans="2:8" x14ac:dyDescent="0.2">
      <c r="B268" s="739" t="s">
        <v>1720</v>
      </c>
      <c r="C268" s="735"/>
      <c r="D268" s="731" t="s">
        <v>75</v>
      </c>
      <c r="F268" s="736"/>
      <c r="G268" s="734"/>
      <c r="H268" s="748">
        <v>15.4</v>
      </c>
    </row>
    <row r="269" spans="2:8" x14ac:dyDescent="0.2">
      <c r="B269" s="739" t="s">
        <v>1721</v>
      </c>
      <c r="C269" s="735"/>
      <c r="D269" s="731" t="s">
        <v>75</v>
      </c>
      <c r="F269" s="736"/>
      <c r="G269" s="734"/>
      <c r="H269" s="748">
        <v>30</v>
      </c>
    </row>
    <row r="270" spans="2:8" x14ac:dyDescent="0.2">
      <c r="B270" s="739" t="s">
        <v>1722</v>
      </c>
      <c r="C270" s="735"/>
      <c r="D270" s="731" t="s">
        <v>75</v>
      </c>
      <c r="F270" s="736"/>
      <c r="G270" s="734"/>
      <c r="H270" s="748">
        <v>36</v>
      </c>
    </row>
    <row r="271" spans="2:8" x14ac:dyDescent="0.2">
      <c r="B271" s="739" t="s">
        <v>1723</v>
      </c>
      <c r="C271" s="735"/>
      <c r="D271" s="731" t="s">
        <v>1564</v>
      </c>
      <c r="F271" s="736"/>
      <c r="G271" s="734"/>
      <c r="H271" s="748">
        <v>75.2</v>
      </c>
    </row>
    <row r="272" spans="2:8" x14ac:dyDescent="0.2">
      <c r="B272" s="739" t="s">
        <v>1724</v>
      </c>
      <c r="C272" s="735"/>
      <c r="D272" s="731" t="s">
        <v>1564</v>
      </c>
      <c r="F272" s="736"/>
      <c r="G272" s="734"/>
      <c r="H272" s="748">
        <v>37</v>
      </c>
    </row>
    <row r="273" spans="2:8" x14ac:dyDescent="0.2">
      <c r="B273" s="739" t="s">
        <v>1725</v>
      </c>
      <c r="C273" s="735"/>
      <c r="D273" s="731" t="s">
        <v>1564</v>
      </c>
      <c r="F273" s="736"/>
      <c r="G273" s="734"/>
      <c r="H273" s="748">
        <v>362</v>
      </c>
    </row>
    <row r="274" spans="2:8" x14ac:dyDescent="0.2">
      <c r="B274" s="739" t="s">
        <v>1726</v>
      </c>
      <c r="C274" s="735"/>
      <c r="D274" s="731" t="s">
        <v>1564</v>
      </c>
      <c r="F274" s="736"/>
      <c r="G274" s="734"/>
      <c r="H274" s="748">
        <v>400</v>
      </c>
    </row>
    <row r="275" spans="2:8" x14ac:dyDescent="0.2">
      <c r="B275" s="739" t="s">
        <v>1727</v>
      </c>
      <c r="C275" s="735"/>
      <c r="D275" s="731" t="s">
        <v>1564</v>
      </c>
      <c r="F275" s="736"/>
      <c r="G275" s="734"/>
      <c r="H275" s="748">
        <v>164</v>
      </c>
    </row>
    <row r="276" spans="2:8" x14ac:dyDescent="0.2">
      <c r="B276" s="739" t="s">
        <v>1728</v>
      </c>
      <c r="C276" s="735"/>
      <c r="D276" s="731" t="s">
        <v>1564</v>
      </c>
      <c r="F276" s="736"/>
      <c r="G276" s="734"/>
      <c r="H276" s="748">
        <v>245</v>
      </c>
    </row>
    <row r="277" spans="2:8" x14ac:dyDescent="0.2">
      <c r="B277" s="739" t="s">
        <v>1729</v>
      </c>
      <c r="C277" s="735"/>
      <c r="D277" s="731" t="s">
        <v>1564</v>
      </c>
      <c r="F277" s="736"/>
      <c r="G277" s="734"/>
      <c r="H277" s="748">
        <v>215</v>
      </c>
    </row>
    <row r="278" spans="2:8" x14ac:dyDescent="0.2">
      <c r="B278" s="739" t="s">
        <v>1730</v>
      </c>
      <c r="C278" s="735"/>
      <c r="D278" s="731" t="s">
        <v>1564</v>
      </c>
      <c r="F278" s="736"/>
      <c r="G278" s="734"/>
      <c r="H278" s="748">
        <v>38</v>
      </c>
    </row>
    <row r="279" spans="2:8" x14ac:dyDescent="0.2">
      <c r="B279" s="739" t="s">
        <v>1731</v>
      </c>
      <c r="C279" s="735"/>
      <c r="D279" s="731" t="s">
        <v>1564</v>
      </c>
      <c r="F279" s="736"/>
      <c r="G279" s="734"/>
      <c r="H279" s="748">
        <v>167</v>
      </c>
    </row>
    <row r="280" spans="2:8" x14ac:dyDescent="0.2">
      <c r="B280" s="739" t="s">
        <v>271</v>
      </c>
      <c r="C280" s="735"/>
      <c r="D280" s="731" t="s">
        <v>1564</v>
      </c>
      <c r="F280" s="736"/>
      <c r="G280" s="734"/>
      <c r="H280" s="748">
        <v>75</v>
      </c>
    </row>
    <row r="281" spans="2:8" x14ac:dyDescent="0.2">
      <c r="B281" s="739" t="s">
        <v>1699</v>
      </c>
      <c r="C281" s="735"/>
      <c r="D281" s="731" t="s">
        <v>1564</v>
      </c>
      <c r="F281" s="736"/>
      <c r="G281" s="734"/>
      <c r="H281" s="748">
        <v>35</v>
      </c>
    </row>
    <row r="282" spans="2:8" x14ac:dyDescent="0.2">
      <c r="B282" s="739" t="s">
        <v>1715</v>
      </c>
      <c r="C282" s="735"/>
      <c r="D282" s="731" t="s">
        <v>1641</v>
      </c>
      <c r="F282" s="736"/>
      <c r="G282" s="734"/>
      <c r="H282" s="748">
        <v>1200</v>
      </c>
    </row>
    <row r="283" spans="2:8" x14ac:dyDescent="0.2">
      <c r="B283" s="730"/>
      <c r="C283" s="735"/>
      <c r="F283" s="736"/>
      <c r="G283" s="734"/>
      <c r="H283" s="748"/>
    </row>
    <row r="284" spans="2:8" x14ac:dyDescent="0.2">
      <c r="B284" s="740" t="s">
        <v>1732</v>
      </c>
      <c r="C284" s="735"/>
      <c r="D284" s="731" t="s">
        <v>3</v>
      </c>
      <c r="E284" s="741"/>
      <c r="F284" s="736"/>
      <c r="G284" s="734"/>
      <c r="H284" s="749">
        <v>165</v>
      </c>
    </row>
    <row r="285" spans="2:8" x14ac:dyDescent="0.2">
      <c r="B285" s="740" t="s">
        <v>1733</v>
      </c>
      <c r="C285" s="735"/>
      <c r="D285" s="731" t="s">
        <v>75</v>
      </c>
      <c r="E285" s="741"/>
      <c r="F285" s="736"/>
      <c r="G285" s="734"/>
      <c r="H285" s="749">
        <v>20</v>
      </c>
    </row>
    <row r="286" spans="2:8" x14ac:dyDescent="0.2">
      <c r="B286" s="730"/>
      <c r="C286" s="735"/>
      <c r="F286" s="736"/>
      <c r="G286" s="734"/>
      <c r="H286" s="748"/>
    </row>
    <row r="287" spans="2:8" x14ac:dyDescent="0.2">
      <c r="B287" s="739" t="s">
        <v>1734</v>
      </c>
      <c r="C287" s="735"/>
      <c r="D287" s="727" t="s">
        <v>1641</v>
      </c>
      <c r="F287" s="736"/>
      <c r="G287" s="734"/>
      <c r="H287" s="749">
        <v>18000</v>
      </c>
    </row>
    <row r="288" spans="2:8" x14ac:dyDescent="0.2">
      <c r="B288" s="751" t="s">
        <v>1735</v>
      </c>
      <c r="C288" s="735"/>
      <c r="D288" s="733" t="s">
        <v>75</v>
      </c>
      <c r="F288" s="736"/>
      <c r="G288" s="734"/>
      <c r="H288" s="749">
        <v>480</v>
      </c>
    </row>
    <row r="289" spans="2:8" x14ac:dyDescent="0.2">
      <c r="B289" s="739" t="s">
        <v>1736</v>
      </c>
      <c r="C289" s="735"/>
      <c r="D289" s="728" t="s">
        <v>75</v>
      </c>
      <c r="F289" s="736"/>
      <c r="G289" s="734"/>
      <c r="H289" s="750">
        <v>28</v>
      </c>
    </row>
    <row r="290" spans="2:8" x14ac:dyDescent="0.2">
      <c r="B290" s="739" t="s">
        <v>1737</v>
      </c>
      <c r="C290" s="735"/>
      <c r="D290" s="727" t="s">
        <v>4</v>
      </c>
      <c r="F290" s="736"/>
      <c r="G290" s="734"/>
      <c r="H290" s="749">
        <v>44</v>
      </c>
    </row>
    <row r="291" spans="2:8" x14ac:dyDescent="0.2">
      <c r="B291" s="739" t="s">
        <v>1738</v>
      </c>
      <c r="C291" s="735"/>
      <c r="D291" s="727" t="s">
        <v>4</v>
      </c>
      <c r="F291" s="736"/>
      <c r="G291" s="734"/>
      <c r="H291" s="749">
        <v>20</v>
      </c>
    </row>
    <row r="292" spans="2:8" x14ac:dyDescent="0.2">
      <c r="B292" s="739" t="s">
        <v>1739</v>
      </c>
      <c r="C292" s="735"/>
      <c r="D292" s="727" t="s">
        <v>4</v>
      </c>
      <c r="F292" s="736"/>
      <c r="G292" s="734"/>
      <c r="H292" s="749">
        <v>16</v>
      </c>
    </row>
    <row r="293" spans="2:8" x14ac:dyDescent="0.2">
      <c r="B293" s="739" t="s">
        <v>1740</v>
      </c>
      <c r="C293" s="735"/>
      <c r="D293" s="727" t="s">
        <v>1564</v>
      </c>
      <c r="F293" s="736"/>
      <c r="G293" s="734"/>
      <c r="H293" s="749">
        <v>1800</v>
      </c>
    </row>
    <row r="294" spans="2:8" x14ac:dyDescent="0.2">
      <c r="B294" s="739" t="s">
        <v>1741</v>
      </c>
      <c r="C294" s="735"/>
      <c r="D294" s="727" t="s">
        <v>1564</v>
      </c>
      <c r="F294" s="736"/>
      <c r="G294" s="734"/>
      <c r="H294" s="749">
        <v>13500</v>
      </c>
    </row>
    <row r="295" spans="2:8" x14ac:dyDescent="0.2">
      <c r="B295" s="739" t="s">
        <v>1742</v>
      </c>
      <c r="C295" s="735"/>
      <c r="D295" s="733" t="s">
        <v>1743</v>
      </c>
      <c r="F295" s="736"/>
      <c r="G295" s="734"/>
      <c r="H295" s="749">
        <v>35816</v>
      </c>
    </row>
    <row r="296" spans="2:8" x14ac:dyDescent="0.2">
      <c r="B296" s="730"/>
      <c r="C296" s="735"/>
      <c r="F296" s="736"/>
      <c r="G296" s="734"/>
      <c r="H296" s="748"/>
    </row>
    <row r="297" spans="2:8" x14ac:dyDescent="0.2">
      <c r="B297" s="739" t="s">
        <v>1674</v>
      </c>
      <c r="C297" s="735"/>
      <c r="D297" s="727" t="s">
        <v>4</v>
      </c>
      <c r="F297" s="736"/>
      <c r="G297" s="734"/>
      <c r="H297" s="748">
        <v>47</v>
      </c>
    </row>
    <row r="298" spans="2:8" x14ac:dyDescent="0.2">
      <c r="B298" s="739" t="s">
        <v>1744</v>
      </c>
      <c r="C298" s="735"/>
      <c r="D298" s="727" t="s">
        <v>75</v>
      </c>
      <c r="F298" s="736"/>
      <c r="G298" s="734"/>
      <c r="H298" s="748">
        <v>22.5</v>
      </c>
    </row>
    <row r="299" spans="2:8" x14ac:dyDescent="0.2">
      <c r="B299" s="739" t="s">
        <v>1745</v>
      </c>
      <c r="C299" s="735"/>
      <c r="D299" s="727" t="s">
        <v>4</v>
      </c>
      <c r="F299" s="736"/>
      <c r="G299" s="734"/>
      <c r="H299" s="748">
        <v>55</v>
      </c>
    </row>
    <row r="300" spans="2:8" x14ac:dyDescent="0.2">
      <c r="B300" s="739" t="s">
        <v>1746</v>
      </c>
      <c r="C300" s="735"/>
      <c r="D300" s="733" t="s">
        <v>1564</v>
      </c>
      <c r="F300" s="736"/>
      <c r="G300" s="734"/>
      <c r="H300" s="748">
        <v>2200</v>
      </c>
    </row>
    <row r="301" spans="2:8" x14ac:dyDescent="0.2">
      <c r="B301" s="751" t="s">
        <v>1747</v>
      </c>
      <c r="C301" s="735"/>
      <c r="D301" s="745" t="s">
        <v>1743</v>
      </c>
      <c r="F301" s="736"/>
      <c r="G301" s="734"/>
      <c r="H301" s="748">
        <v>3300</v>
      </c>
    </row>
    <row r="302" spans="2:8" x14ac:dyDescent="0.2">
      <c r="B302" s="751" t="s">
        <v>1748</v>
      </c>
      <c r="C302" s="735"/>
      <c r="D302" s="727" t="s">
        <v>75</v>
      </c>
      <c r="F302" s="736"/>
      <c r="G302" s="734"/>
      <c r="H302" s="748">
        <v>8</v>
      </c>
    </row>
    <row r="303" spans="2:8" x14ac:dyDescent="0.2">
      <c r="B303" s="730"/>
      <c r="C303" s="735"/>
      <c r="F303" s="736"/>
      <c r="G303" s="734"/>
      <c r="H303" s="748"/>
    </row>
    <row r="304" spans="2:8" x14ac:dyDescent="0.2">
      <c r="B304" s="739" t="s">
        <v>1674</v>
      </c>
      <c r="C304" s="735"/>
      <c r="D304" s="727" t="s">
        <v>4</v>
      </c>
      <c r="F304" s="736"/>
      <c r="G304" s="734"/>
      <c r="H304" s="748">
        <v>47</v>
      </c>
    </row>
    <row r="305" spans="2:8" x14ac:dyDescent="0.2">
      <c r="B305" s="739" t="s">
        <v>1749</v>
      </c>
      <c r="C305" s="735"/>
      <c r="D305" s="727" t="s">
        <v>75</v>
      </c>
      <c r="F305" s="736"/>
      <c r="G305" s="734"/>
      <c r="H305" s="748">
        <v>38.700000000000003</v>
      </c>
    </row>
    <row r="306" spans="2:8" x14ac:dyDescent="0.2">
      <c r="B306" s="751" t="s">
        <v>1747</v>
      </c>
      <c r="C306" s="735"/>
      <c r="D306" s="745" t="s">
        <v>1743</v>
      </c>
      <c r="F306" s="736"/>
      <c r="G306" s="734"/>
      <c r="H306" s="748">
        <v>1431.9</v>
      </c>
    </row>
    <row r="307" spans="2:8" x14ac:dyDescent="0.2">
      <c r="B307" s="751" t="s">
        <v>1750</v>
      </c>
      <c r="C307" s="735"/>
      <c r="D307" s="728" t="s">
        <v>4</v>
      </c>
      <c r="F307" s="736"/>
      <c r="G307" s="734"/>
      <c r="H307" s="748">
        <v>356</v>
      </c>
    </row>
    <row r="308" spans="2:8" x14ac:dyDescent="0.2">
      <c r="B308" s="751" t="s">
        <v>1751</v>
      </c>
      <c r="C308" s="735"/>
      <c r="D308" s="728" t="s">
        <v>4</v>
      </c>
      <c r="F308" s="736"/>
      <c r="G308" s="734"/>
      <c r="H308" s="748">
        <v>55</v>
      </c>
    </row>
    <row r="309" spans="2:8" x14ac:dyDescent="0.2">
      <c r="B309" s="751" t="s">
        <v>1741</v>
      </c>
      <c r="C309" s="735"/>
      <c r="D309" s="728" t="s">
        <v>1564</v>
      </c>
      <c r="F309" s="736"/>
      <c r="G309" s="734"/>
      <c r="H309" s="748">
        <v>13500</v>
      </c>
    </row>
    <row r="310" spans="2:8" x14ac:dyDescent="0.2">
      <c r="B310" s="751" t="s">
        <v>1752</v>
      </c>
      <c r="C310" s="735"/>
      <c r="D310" s="728" t="s">
        <v>1564</v>
      </c>
      <c r="F310" s="736"/>
      <c r="G310" s="734"/>
      <c r="H310" s="748">
        <v>2550</v>
      </c>
    </row>
  </sheetData>
  <autoFilter ref="A2:H310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theme="0" tint="-0.499984740745262"/>
    <pageSetUpPr fitToPage="1"/>
  </sheetPr>
  <dimension ref="A1:P338"/>
  <sheetViews>
    <sheetView view="pageBreakPreview" topLeftCell="A16" zoomScale="70" zoomScaleNormal="70" zoomScaleSheetLayoutView="70" workbookViewId="0">
      <selection activeCell="I23" sqref="I23"/>
    </sheetView>
  </sheetViews>
  <sheetFormatPr defaultColWidth="10.7109375" defaultRowHeight="12.75" x14ac:dyDescent="0.25"/>
  <cols>
    <col min="1" max="1" width="10.7109375" style="360" customWidth="1"/>
    <col min="2" max="2" width="38" style="373" customWidth="1"/>
    <col min="3" max="3" width="8.42578125" style="374" customWidth="1"/>
    <col min="4" max="4" width="15.7109375" style="375" customWidth="1"/>
    <col min="5" max="5" width="17.85546875" style="375" customWidth="1"/>
    <col min="6" max="6" width="31.85546875" style="360" hidden="1" customWidth="1"/>
    <col min="7" max="7" width="33.28515625" style="360" customWidth="1"/>
    <col min="8" max="255" width="10.7109375" style="360"/>
    <col min="256" max="256" width="13.140625" style="360" customWidth="1"/>
    <col min="257" max="257" width="38" style="360" customWidth="1"/>
    <col min="258" max="258" width="8.42578125" style="360" customWidth="1"/>
    <col min="259" max="259" width="15.7109375" style="360" customWidth="1"/>
    <col min="260" max="260" width="18.28515625" style="360" customWidth="1"/>
    <col min="261" max="261" width="17.85546875" style="360" customWidth="1"/>
    <col min="262" max="262" width="0" style="360" hidden="1" customWidth="1"/>
    <col min="263" max="263" width="33.28515625" style="360" customWidth="1"/>
    <col min="264" max="511" width="10.7109375" style="360"/>
    <col min="512" max="512" width="13.140625" style="360" customWidth="1"/>
    <col min="513" max="513" width="38" style="360" customWidth="1"/>
    <col min="514" max="514" width="8.42578125" style="360" customWidth="1"/>
    <col min="515" max="515" width="15.7109375" style="360" customWidth="1"/>
    <col min="516" max="516" width="18.28515625" style="360" customWidth="1"/>
    <col min="517" max="517" width="17.85546875" style="360" customWidth="1"/>
    <col min="518" max="518" width="0" style="360" hidden="1" customWidth="1"/>
    <col min="519" max="519" width="33.28515625" style="360" customWidth="1"/>
    <col min="520" max="767" width="10.7109375" style="360"/>
    <col min="768" max="768" width="13.140625" style="360" customWidth="1"/>
    <col min="769" max="769" width="38" style="360" customWidth="1"/>
    <col min="770" max="770" width="8.42578125" style="360" customWidth="1"/>
    <col min="771" max="771" width="15.7109375" style="360" customWidth="1"/>
    <col min="772" max="772" width="18.28515625" style="360" customWidth="1"/>
    <col min="773" max="773" width="17.85546875" style="360" customWidth="1"/>
    <col min="774" max="774" width="0" style="360" hidden="1" customWidth="1"/>
    <col min="775" max="775" width="33.28515625" style="360" customWidth="1"/>
    <col min="776" max="1023" width="10.7109375" style="360"/>
    <col min="1024" max="1024" width="13.140625" style="360" customWidth="1"/>
    <col min="1025" max="1025" width="38" style="360" customWidth="1"/>
    <col min="1026" max="1026" width="8.42578125" style="360" customWidth="1"/>
    <col min="1027" max="1027" width="15.7109375" style="360" customWidth="1"/>
    <col min="1028" max="1028" width="18.28515625" style="360" customWidth="1"/>
    <col min="1029" max="1029" width="17.85546875" style="360" customWidth="1"/>
    <col min="1030" max="1030" width="0" style="360" hidden="1" customWidth="1"/>
    <col min="1031" max="1031" width="33.28515625" style="360" customWidth="1"/>
    <col min="1032" max="1279" width="10.7109375" style="360"/>
    <col min="1280" max="1280" width="13.140625" style="360" customWidth="1"/>
    <col min="1281" max="1281" width="38" style="360" customWidth="1"/>
    <col min="1282" max="1282" width="8.42578125" style="360" customWidth="1"/>
    <col min="1283" max="1283" width="15.7109375" style="360" customWidth="1"/>
    <col min="1284" max="1284" width="18.28515625" style="360" customWidth="1"/>
    <col min="1285" max="1285" width="17.85546875" style="360" customWidth="1"/>
    <col min="1286" max="1286" width="0" style="360" hidden="1" customWidth="1"/>
    <col min="1287" max="1287" width="33.28515625" style="360" customWidth="1"/>
    <col min="1288" max="1535" width="10.7109375" style="360"/>
    <col min="1536" max="1536" width="13.140625" style="360" customWidth="1"/>
    <col min="1537" max="1537" width="38" style="360" customWidth="1"/>
    <col min="1538" max="1538" width="8.42578125" style="360" customWidth="1"/>
    <col min="1539" max="1539" width="15.7109375" style="360" customWidth="1"/>
    <col min="1540" max="1540" width="18.28515625" style="360" customWidth="1"/>
    <col min="1541" max="1541" width="17.85546875" style="360" customWidth="1"/>
    <col min="1542" max="1542" width="0" style="360" hidden="1" customWidth="1"/>
    <col min="1543" max="1543" width="33.28515625" style="360" customWidth="1"/>
    <col min="1544" max="1791" width="10.7109375" style="360"/>
    <col min="1792" max="1792" width="13.140625" style="360" customWidth="1"/>
    <col min="1793" max="1793" width="38" style="360" customWidth="1"/>
    <col min="1794" max="1794" width="8.42578125" style="360" customWidth="1"/>
    <col min="1795" max="1795" width="15.7109375" style="360" customWidth="1"/>
    <col min="1796" max="1796" width="18.28515625" style="360" customWidth="1"/>
    <col min="1797" max="1797" width="17.85546875" style="360" customWidth="1"/>
    <col min="1798" max="1798" width="0" style="360" hidden="1" customWidth="1"/>
    <col min="1799" max="1799" width="33.28515625" style="360" customWidth="1"/>
    <col min="1800" max="2047" width="10.7109375" style="360"/>
    <col min="2048" max="2048" width="13.140625" style="360" customWidth="1"/>
    <col min="2049" max="2049" width="38" style="360" customWidth="1"/>
    <col min="2050" max="2050" width="8.42578125" style="360" customWidth="1"/>
    <col min="2051" max="2051" width="15.7109375" style="360" customWidth="1"/>
    <col min="2052" max="2052" width="18.28515625" style="360" customWidth="1"/>
    <col min="2053" max="2053" width="17.85546875" style="360" customWidth="1"/>
    <col min="2054" max="2054" width="0" style="360" hidden="1" customWidth="1"/>
    <col min="2055" max="2055" width="33.28515625" style="360" customWidth="1"/>
    <col min="2056" max="2303" width="10.7109375" style="360"/>
    <col min="2304" max="2304" width="13.140625" style="360" customWidth="1"/>
    <col min="2305" max="2305" width="38" style="360" customWidth="1"/>
    <col min="2306" max="2306" width="8.42578125" style="360" customWidth="1"/>
    <col min="2307" max="2307" width="15.7109375" style="360" customWidth="1"/>
    <col min="2308" max="2308" width="18.28515625" style="360" customWidth="1"/>
    <col min="2309" max="2309" width="17.85546875" style="360" customWidth="1"/>
    <col min="2310" max="2310" width="0" style="360" hidden="1" customWidth="1"/>
    <col min="2311" max="2311" width="33.28515625" style="360" customWidth="1"/>
    <col min="2312" max="2559" width="10.7109375" style="360"/>
    <col min="2560" max="2560" width="13.140625" style="360" customWidth="1"/>
    <col min="2561" max="2561" width="38" style="360" customWidth="1"/>
    <col min="2562" max="2562" width="8.42578125" style="360" customWidth="1"/>
    <col min="2563" max="2563" width="15.7109375" style="360" customWidth="1"/>
    <col min="2564" max="2564" width="18.28515625" style="360" customWidth="1"/>
    <col min="2565" max="2565" width="17.85546875" style="360" customWidth="1"/>
    <col min="2566" max="2566" width="0" style="360" hidden="1" customWidth="1"/>
    <col min="2567" max="2567" width="33.28515625" style="360" customWidth="1"/>
    <col min="2568" max="2815" width="10.7109375" style="360"/>
    <col min="2816" max="2816" width="13.140625" style="360" customWidth="1"/>
    <col min="2817" max="2817" width="38" style="360" customWidth="1"/>
    <col min="2818" max="2818" width="8.42578125" style="360" customWidth="1"/>
    <col min="2819" max="2819" width="15.7109375" style="360" customWidth="1"/>
    <col min="2820" max="2820" width="18.28515625" style="360" customWidth="1"/>
    <col min="2821" max="2821" width="17.85546875" style="360" customWidth="1"/>
    <col min="2822" max="2822" width="0" style="360" hidden="1" customWidth="1"/>
    <col min="2823" max="2823" width="33.28515625" style="360" customWidth="1"/>
    <col min="2824" max="3071" width="10.7109375" style="360"/>
    <col min="3072" max="3072" width="13.140625" style="360" customWidth="1"/>
    <col min="3073" max="3073" width="38" style="360" customWidth="1"/>
    <col min="3074" max="3074" width="8.42578125" style="360" customWidth="1"/>
    <col min="3075" max="3075" width="15.7109375" style="360" customWidth="1"/>
    <col min="3076" max="3076" width="18.28515625" style="360" customWidth="1"/>
    <col min="3077" max="3077" width="17.85546875" style="360" customWidth="1"/>
    <col min="3078" max="3078" width="0" style="360" hidden="1" customWidth="1"/>
    <col min="3079" max="3079" width="33.28515625" style="360" customWidth="1"/>
    <col min="3080" max="3327" width="10.7109375" style="360"/>
    <col min="3328" max="3328" width="13.140625" style="360" customWidth="1"/>
    <col min="3329" max="3329" width="38" style="360" customWidth="1"/>
    <col min="3330" max="3330" width="8.42578125" style="360" customWidth="1"/>
    <col min="3331" max="3331" width="15.7109375" style="360" customWidth="1"/>
    <col min="3332" max="3332" width="18.28515625" style="360" customWidth="1"/>
    <col min="3333" max="3333" width="17.85546875" style="360" customWidth="1"/>
    <col min="3334" max="3334" width="0" style="360" hidden="1" customWidth="1"/>
    <col min="3335" max="3335" width="33.28515625" style="360" customWidth="1"/>
    <col min="3336" max="3583" width="10.7109375" style="360"/>
    <col min="3584" max="3584" width="13.140625" style="360" customWidth="1"/>
    <col min="3585" max="3585" width="38" style="360" customWidth="1"/>
    <col min="3586" max="3586" width="8.42578125" style="360" customWidth="1"/>
    <col min="3587" max="3587" width="15.7109375" style="360" customWidth="1"/>
    <col min="3588" max="3588" width="18.28515625" style="360" customWidth="1"/>
    <col min="3589" max="3589" width="17.85546875" style="360" customWidth="1"/>
    <col min="3590" max="3590" width="0" style="360" hidden="1" customWidth="1"/>
    <col min="3591" max="3591" width="33.28515625" style="360" customWidth="1"/>
    <col min="3592" max="3839" width="10.7109375" style="360"/>
    <col min="3840" max="3840" width="13.140625" style="360" customWidth="1"/>
    <col min="3841" max="3841" width="38" style="360" customWidth="1"/>
    <col min="3842" max="3842" width="8.42578125" style="360" customWidth="1"/>
    <col min="3843" max="3843" width="15.7109375" style="360" customWidth="1"/>
    <col min="3844" max="3844" width="18.28515625" style="360" customWidth="1"/>
    <col min="3845" max="3845" width="17.85546875" style="360" customWidth="1"/>
    <col min="3846" max="3846" width="0" style="360" hidden="1" customWidth="1"/>
    <col min="3847" max="3847" width="33.28515625" style="360" customWidth="1"/>
    <col min="3848" max="4095" width="10.7109375" style="360"/>
    <col min="4096" max="4096" width="13.140625" style="360" customWidth="1"/>
    <col min="4097" max="4097" width="38" style="360" customWidth="1"/>
    <col min="4098" max="4098" width="8.42578125" style="360" customWidth="1"/>
    <col min="4099" max="4099" width="15.7109375" style="360" customWidth="1"/>
    <col min="4100" max="4100" width="18.28515625" style="360" customWidth="1"/>
    <col min="4101" max="4101" width="17.85546875" style="360" customWidth="1"/>
    <col min="4102" max="4102" width="0" style="360" hidden="1" customWidth="1"/>
    <col min="4103" max="4103" width="33.28515625" style="360" customWidth="1"/>
    <col min="4104" max="4351" width="10.7109375" style="360"/>
    <col min="4352" max="4352" width="13.140625" style="360" customWidth="1"/>
    <col min="4353" max="4353" width="38" style="360" customWidth="1"/>
    <col min="4354" max="4354" width="8.42578125" style="360" customWidth="1"/>
    <col min="4355" max="4355" width="15.7109375" style="360" customWidth="1"/>
    <col min="4356" max="4356" width="18.28515625" style="360" customWidth="1"/>
    <col min="4357" max="4357" width="17.85546875" style="360" customWidth="1"/>
    <col min="4358" max="4358" width="0" style="360" hidden="1" customWidth="1"/>
    <col min="4359" max="4359" width="33.28515625" style="360" customWidth="1"/>
    <col min="4360" max="4607" width="10.7109375" style="360"/>
    <col min="4608" max="4608" width="13.140625" style="360" customWidth="1"/>
    <col min="4609" max="4609" width="38" style="360" customWidth="1"/>
    <col min="4610" max="4610" width="8.42578125" style="360" customWidth="1"/>
    <col min="4611" max="4611" width="15.7109375" style="360" customWidth="1"/>
    <col min="4612" max="4612" width="18.28515625" style="360" customWidth="1"/>
    <col min="4613" max="4613" width="17.85546875" style="360" customWidth="1"/>
    <col min="4614" max="4614" width="0" style="360" hidden="1" customWidth="1"/>
    <col min="4615" max="4615" width="33.28515625" style="360" customWidth="1"/>
    <col min="4616" max="4863" width="10.7109375" style="360"/>
    <col min="4864" max="4864" width="13.140625" style="360" customWidth="1"/>
    <col min="4865" max="4865" width="38" style="360" customWidth="1"/>
    <col min="4866" max="4866" width="8.42578125" style="360" customWidth="1"/>
    <col min="4867" max="4867" width="15.7109375" style="360" customWidth="1"/>
    <col min="4868" max="4868" width="18.28515625" style="360" customWidth="1"/>
    <col min="4869" max="4869" width="17.85546875" style="360" customWidth="1"/>
    <col min="4870" max="4870" width="0" style="360" hidden="1" customWidth="1"/>
    <col min="4871" max="4871" width="33.28515625" style="360" customWidth="1"/>
    <col min="4872" max="5119" width="10.7109375" style="360"/>
    <col min="5120" max="5120" width="13.140625" style="360" customWidth="1"/>
    <col min="5121" max="5121" width="38" style="360" customWidth="1"/>
    <col min="5122" max="5122" width="8.42578125" style="360" customWidth="1"/>
    <col min="5123" max="5123" width="15.7109375" style="360" customWidth="1"/>
    <col min="5124" max="5124" width="18.28515625" style="360" customWidth="1"/>
    <col min="5125" max="5125" width="17.85546875" style="360" customWidth="1"/>
    <col min="5126" max="5126" width="0" style="360" hidden="1" customWidth="1"/>
    <col min="5127" max="5127" width="33.28515625" style="360" customWidth="1"/>
    <col min="5128" max="5375" width="10.7109375" style="360"/>
    <col min="5376" max="5376" width="13.140625" style="360" customWidth="1"/>
    <col min="5377" max="5377" width="38" style="360" customWidth="1"/>
    <col min="5378" max="5378" width="8.42578125" style="360" customWidth="1"/>
    <col min="5379" max="5379" width="15.7109375" style="360" customWidth="1"/>
    <col min="5380" max="5380" width="18.28515625" style="360" customWidth="1"/>
    <col min="5381" max="5381" width="17.85546875" style="360" customWidth="1"/>
    <col min="5382" max="5382" width="0" style="360" hidden="1" customWidth="1"/>
    <col min="5383" max="5383" width="33.28515625" style="360" customWidth="1"/>
    <col min="5384" max="5631" width="10.7109375" style="360"/>
    <col min="5632" max="5632" width="13.140625" style="360" customWidth="1"/>
    <col min="5633" max="5633" width="38" style="360" customWidth="1"/>
    <col min="5634" max="5634" width="8.42578125" style="360" customWidth="1"/>
    <col min="5635" max="5635" width="15.7109375" style="360" customWidth="1"/>
    <col min="5636" max="5636" width="18.28515625" style="360" customWidth="1"/>
    <col min="5637" max="5637" width="17.85546875" style="360" customWidth="1"/>
    <col min="5638" max="5638" width="0" style="360" hidden="1" customWidth="1"/>
    <col min="5639" max="5639" width="33.28515625" style="360" customWidth="1"/>
    <col min="5640" max="5887" width="10.7109375" style="360"/>
    <col min="5888" max="5888" width="13.140625" style="360" customWidth="1"/>
    <col min="5889" max="5889" width="38" style="360" customWidth="1"/>
    <col min="5890" max="5890" width="8.42578125" style="360" customWidth="1"/>
    <col min="5891" max="5891" width="15.7109375" style="360" customWidth="1"/>
    <col min="5892" max="5892" width="18.28515625" style="360" customWidth="1"/>
    <col min="5893" max="5893" width="17.85546875" style="360" customWidth="1"/>
    <col min="5894" max="5894" width="0" style="360" hidden="1" customWidth="1"/>
    <col min="5895" max="5895" width="33.28515625" style="360" customWidth="1"/>
    <col min="5896" max="6143" width="10.7109375" style="360"/>
    <col min="6144" max="6144" width="13.140625" style="360" customWidth="1"/>
    <col min="6145" max="6145" width="38" style="360" customWidth="1"/>
    <col min="6146" max="6146" width="8.42578125" style="360" customWidth="1"/>
    <col min="6147" max="6147" width="15.7109375" style="360" customWidth="1"/>
    <col min="6148" max="6148" width="18.28515625" style="360" customWidth="1"/>
    <col min="6149" max="6149" width="17.85546875" style="360" customWidth="1"/>
    <col min="6150" max="6150" width="0" style="360" hidden="1" customWidth="1"/>
    <col min="6151" max="6151" width="33.28515625" style="360" customWidth="1"/>
    <col min="6152" max="6399" width="10.7109375" style="360"/>
    <col min="6400" max="6400" width="13.140625" style="360" customWidth="1"/>
    <col min="6401" max="6401" width="38" style="360" customWidth="1"/>
    <col min="6402" max="6402" width="8.42578125" style="360" customWidth="1"/>
    <col min="6403" max="6403" width="15.7109375" style="360" customWidth="1"/>
    <col min="6404" max="6404" width="18.28515625" style="360" customWidth="1"/>
    <col min="6405" max="6405" width="17.85546875" style="360" customWidth="1"/>
    <col min="6406" max="6406" width="0" style="360" hidden="1" customWidth="1"/>
    <col min="6407" max="6407" width="33.28515625" style="360" customWidth="1"/>
    <col min="6408" max="6655" width="10.7109375" style="360"/>
    <col min="6656" max="6656" width="13.140625" style="360" customWidth="1"/>
    <col min="6657" max="6657" width="38" style="360" customWidth="1"/>
    <col min="6658" max="6658" width="8.42578125" style="360" customWidth="1"/>
    <col min="6659" max="6659" width="15.7109375" style="360" customWidth="1"/>
    <col min="6660" max="6660" width="18.28515625" style="360" customWidth="1"/>
    <col min="6661" max="6661" width="17.85546875" style="360" customWidth="1"/>
    <col min="6662" max="6662" width="0" style="360" hidden="1" customWidth="1"/>
    <col min="6663" max="6663" width="33.28515625" style="360" customWidth="1"/>
    <col min="6664" max="6911" width="10.7109375" style="360"/>
    <col min="6912" max="6912" width="13.140625" style="360" customWidth="1"/>
    <col min="6913" max="6913" width="38" style="360" customWidth="1"/>
    <col min="6914" max="6914" width="8.42578125" style="360" customWidth="1"/>
    <col min="6915" max="6915" width="15.7109375" style="360" customWidth="1"/>
    <col min="6916" max="6916" width="18.28515625" style="360" customWidth="1"/>
    <col min="6917" max="6917" width="17.85546875" style="360" customWidth="1"/>
    <col min="6918" max="6918" width="0" style="360" hidden="1" customWidth="1"/>
    <col min="6919" max="6919" width="33.28515625" style="360" customWidth="1"/>
    <col min="6920" max="7167" width="10.7109375" style="360"/>
    <col min="7168" max="7168" width="13.140625" style="360" customWidth="1"/>
    <col min="7169" max="7169" width="38" style="360" customWidth="1"/>
    <col min="7170" max="7170" width="8.42578125" style="360" customWidth="1"/>
    <col min="7171" max="7171" width="15.7109375" style="360" customWidth="1"/>
    <col min="7172" max="7172" width="18.28515625" style="360" customWidth="1"/>
    <col min="7173" max="7173" width="17.85546875" style="360" customWidth="1"/>
    <col min="7174" max="7174" width="0" style="360" hidden="1" customWidth="1"/>
    <col min="7175" max="7175" width="33.28515625" style="360" customWidth="1"/>
    <col min="7176" max="7423" width="10.7109375" style="360"/>
    <col min="7424" max="7424" width="13.140625" style="360" customWidth="1"/>
    <col min="7425" max="7425" width="38" style="360" customWidth="1"/>
    <col min="7426" max="7426" width="8.42578125" style="360" customWidth="1"/>
    <col min="7427" max="7427" width="15.7109375" style="360" customWidth="1"/>
    <col min="7428" max="7428" width="18.28515625" style="360" customWidth="1"/>
    <col min="7429" max="7429" width="17.85546875" style="360" customWidth="1"/>
    <col min="7430" max="7430" width="0" style="360" hidden="1" customWidth="1"/>
    <col min="7431" max="7431" width="33.28515625" style="360" customWidth="1"/>
    <col min="7432" max="7679" width="10.7109375" style="360"/>
    <col min="7680" max="7680" width="13.140625" style="360" customWidth="1"/>
    <col min="7681" max="7681" width="38" style="360" customWidth="1"/>
    <col min="7682" max="7682" width="8.42578125" style="360" customWidth="1"/>
    <col min="7683" max="7683" width="15.7109375" style="360" customWidth="1"/>
    <col min="7684" max="7684" width="18.28515625" style="360" customWidth="1"/>
    <col min="7685" max="7685" width="17.85546875" style="360" customWidth="1"/>
    <col min="7686" max="7686" width="0" style="360" hidden="1" customWidth="1"/>
    <col min="7687" max="7687" width="33.28515625" style="360" customWidth="1"/>
    <col min="7688" max="7935" width="10.7109375" style="360"/>
    <col min="7936" max="7936" width="13.140625" style="360" customWidth="1"/>
    <col min="7937" max="7937" width="38" style="360" customWidth="1"/>
    <col min="7938" max="7938" width="8.42578125" style="360" customWidth="1"/>
    <col min="7939" max="7939" width="15.7109375" style="360" customWidth="1"/>
    <col min="7940" max="7940" width="18.28515625" style="360" customWidth="1"/>
    <col min="7941" max="7941" width="17.85546875" style="360" customWidth="1"/>
    <col min="7942" max="7942" width="0" style="360" hidden="1" customWidth="1"/>
    <col min="7943" max="7943" width="33.28515625" style="360" customWidth="1"/>
    <col min="7944" max="8191" width="10.7109375" style="360"/>
    <col min="8192" max="8192" width="13.140625" style="360" customWidth="1"/>
    <col min="8193" max="8193" width="38" style="360" customWidth="1"/>
    <col min="8194" max="8194" width="8.42578125" style="360" customWidth="1"/>
    <col min="8195" max="8195" width="15.7109375" style="360" customWidth="1"/>
    <col min="8196" max="8196" width="18.28515625" style="360" customWidth="1"/>
    <col min="8197" max="8197" width="17.85546875" style="360" customWidth="1"/>
    <col min="8198" max="8198" width="0" style="360" hidden="1" customWidth="1"/>
    <col min="8199" max="8199" width="33.28515625" style="360" customWidth="1"/>
    <col min="8200" max="8447" width="10.7109375" style="360"/>
    <col min="8448" max="8448" width="13.140625" style="360" customWidth="1"/>
    <col min="8449" max="8449" width="38" style="360" customWidth="1"/>
    <col min="8450" max="8450" width="8.42578125" style="360" customWidth="1"/>
    <col min="8451" max="8451" width="15.7109375" style="360" customWidth="1"/>
    <col min="8452" max="8452" width="18.28515625" style="360" customWidth="1"/>
    <col min="8453" max="8453" width="17.85546875" style="360" customWidth="1"/>
    <col min="8454" max="8454" width="0" style="360" hidden="1" customWidth="1"/>
    <col min="8455" max="8455" width="33.28515625" style="360" customWidth="1"/>
    <col min="8456" max="8703" width="10.7109375" style="360"/>
    <col min="8704" max="8704" width="13.140625" style="360" customWidth="1"/>
    <col min="8705" max="8705" width="38" style="360" customWidth="1"/>
    <col min="8706" max="8706" width="8.42578125" style="360" customWidth="1"/>
    <col min="8707" max="8707" width="15.7109375" style="360" customWidth="1"/>
    <col min="8708" max="8708" width="18.28515625" style="360" customWidth="1"/>
    <col min="8709" max="8709" width="17.85546875" style="360" customWidth="1"/>
    <col min="8710" max="8710" width="0" style="360" hidden="1" customWidth="1"/>
    <col min="8711" max="8711" width="33.28515625" style="360" customWidth="1"/>
    <col min="8712" max="8959" width="10.7109375" style="360"/>
    <col min="8960" max="8960" width="13.140625" style="360" customWidth="1"/>
    <col min="8961" max="8961" width="38" style="360" customWidth="1"/>
    <col min="8962" max="8962" width="8.42578125" style="360" customWidth="1"/>
    <col min="8963" max="8963" width="15.7109375" style="360" customWidth="1"/>
    <col min="8964" max="8964" width="18.28515625" style="360" customWidth="1"/>
    <col min="8965" max="8965" width="17.85546875" style="360" customWidth="1"/>
    <col min="8966" max="8966" width="0" style="360" hidden="1" customWidth="1"/>
    <col min="8967" max="8967" width="33.28515625" style="360" customWidth="1"/>
    <col min="8968" max="9215" width="10.7109375" style="360"/>
    <col min="9216" max="9216" width="13.140625" style="360" customWidth="1"/>
    <col min="9217" max="9217" width="38" style="360" customWidth="1"/>
    <col min="9218" max="9218" width="8.42578125" style="360" customWidth="1"/>
    <col min="9219" max="9219" width="15.7109375" style="360" customWidth="1"/>
    <col min="9220" max="9220" width="18.28515625" style="360" customWidth="1"/>
    <col min="9221" max="9221" width="17.85546875" style="360" customWidth="1"/>
    <col min="9222" max="9222" width="0" style="360" hidden="1" customWidth="1"/>
    <col min="9223" max="9223" width="33.28515625" style="360" customWidth="1"/>
    <col min="9224" max="9471" width="10.7109375" style="360"/>
    <col min="9472" max="9472" width="13.140625" style="360" customWidth="1"/>
    <col min="9473" max="9473" width="38" style="360" customWidth="1"/>
    <col min="9474" max="9474" width="8.42578125" style="360" customWidth="1"/>
    <col min="9475" max="9475" width="15.7109375" style="360" customWidth="1"/>
    <col min="9476" max="9476" width="18.28515625" style="360" customWidth="1"/>
    <col min="9477" max="9477" width="17.85546875" style="360" customWidth="1"/>
    <col min="9478" max="9478" width="0" style="360" hidden="1" customWidth="1"/>
    <col min="9479" max="9479" width="33.28515625" style="360" customWidth="1"/>
    <col min="9480" max="9727" width="10.7109375" style="360"/>
    <col min="9728" max="9728" width="13.140625" style="360" customWidth="1"/>
    <col min="9729" max="9729" width="38" style="360" customWidth="1"/>
    <col min="9730" max="9730" width="8.42578125" style="360" customWidth="1"/>
    <col min="9731" max="9731" width="15.7109375" style="360" customWidth="1"/>
    <col min="9732" max="9732" width="18.28515625" style="360" customWidth="1"/>
    <col min="9733" max="9733" width="17.85546875" style="360" customWidth="1"/>
    <col min="9734" max="9734" width="0" style="360" hidden="1" customWidth="1"/>
    <col min="9735" max="9735" width="33.28515625" style="360" customWidth="1"/>
    <col min="9736" max="9983" width="10.7109375" style="360"/>
    <col min="9984" max="9984" width="13.140625" style="360" customWidth="1"/>
    <col min="9985" max="9985" width="38" style="360" customWidth="1"/>
    <col min="9986" max="9986" width="8.42578125" style="360" customWidth="1"/>
    <col min="9987" max="9987" width="15.7109375" style="360" customWidth="1"/>
    <col min="9988" max="9988" width="18.28515625" style="360" customWidth="1"/>
    <col min="9989" max="9989" width="17.85546875" style="360" customWidth="1"/>
    <col min="9990" max="9990" width="0" style="360" hidden="1" customWidth="1"/>
    <col min="9991" max="9991" width="33.28515625" style="360" customWidth="1"/>
    <col min="9992" max="10239" width="10.7109375" style="360"/>
    <col min="10240" max="10240" width="13.140625" style="360" customWidth="1"/>
    <col min="10241" max="10241" width="38" style="360" customWidth="1"/>
    <col min="10242" max="10242" width="8.42578125" style="360" customWidth="1"/>
    <col min="10243" max="10243" width="15.7109375" style="360" customWidth="1"/>
    <col min="10244" max="10244" width="18.28515625" style="360" customWidth="1"/>
    <col min="10245" max="10245" width="17.85546875" style="360" customWidth="1"/>
    <col min="10246" max="10246" width="0" style="360" hidden="1" customWidth="1"/>
    <col min="10247" max="10247" width="33.28515625" style="360" customWidth="1"/>
    <col min="10248" max="10495" width="10.7109375" style="360"/>
    <col min="10496" max="10496" width="13.140625" style="360" customWidth="1"/>
    <col min="10497" max="10497" width="38" style="360" customWidth="1"/>
    <col min="10498" max="10498" width="8.42578125" style="360" customWidth="1"/>
    <col min="10499" max="10499" width="15.7109375" style="360" customWidth="1"/>
    <col min="10500" max="10500" width="18.28515625" style="360" customWidth="1"/>
    <col min="10501" max="10501" width="17.85546875" style="360" customWidth="1"/>
    <col min="10502" max="10502" width="0" style="360" hidden="1" customWidth="1"/>
    <col min="10503" max="10503" width="33.28515625" style="360" customWidth="1"/>
    <col min="10504" max="10751" width="10.7109375" style="360"/>
    <col min="10752" max="10752" width="13.140625" style="360" customWidth="1"/>
    <col min="10753" max="10753" width="38" style="360" customWidth="1"/>
    <col min="10754" max="10754" width="8.42578125" style="360" customWidth="1"/>
    <col min="10755" max="10755" width="15.7109375" style="360" customWidth="1"/>
    <col min="10756" max="10756" width="18.28515625" style="360" customWidth="1"/>
    <col min="10757" max="10757" width="17.85546875" style="360" customWidth="1"/>
    <col min="10758" max="10758" width="0" style="360" hidden="1" customWidth="1"/>
    <col min="10759" max="10759" width="33.28515625" style="360" customWidth="1"/>
    <col min="10760" max="11007" width="10.7109375" style="360"/>
    <col min="11008" max="11008" width="13.140625" style="360" customWidth="1"/>
    <col min="11009" max="11009" width="38" style="360" customWidth="1"/>
    <col min="11010" max="11010" width="8.42578125" style="360" customWidth="1"/>
    <col min="11011" max="11011" width="15.7109375" style="360" customWidth="1"/>
    <col min="11012" max="11012" width="18.28515625" style="360" customWidth="1"/>
    <col min="11013" max="11013" width="17.85546875" style="360" customWidth="1"/>
    <col min="11014" max="11014" width="0" style="360" hidden="1" customWidth="1"/>
    <col min="11015" max="11015" width="33.28515625" style="360" customWidth="1"/>
    <col min="11016" max="11263" width="10.7109375" style="360"/>
    <col min="11264" max="11264" width="13.140625" style="360" customWidth="1"/>
    <col min="11265" max="11265" width="38" style="360" customWidth="1"/>
    <col min="11266" max="11266" width="8.42578125" style="360" customWidth="1"/>
    <col min="11267" max="11267" width="15.7109375" style="360" customWidth="1"/>
    <col min="11268" max="11268" width="18.28515625" style="360" customWidth="1"/>
    <col min="11269" max="11269" width="17.85546875" style="360" customWidth="1"/>
    <col min="11270" max="11270" width="0" style="360" hidden="1" customWidth="1"/>
    <col min="11271" max="11271" width="33.28515625" style="360" customWidth="1"/>
    <col min="11272" max="11519" width="10.7109375" style="360"/>
    <col min="11520" max="11520" width="13.140625" style="360" customWidth="1"/>
    <col min="11521" max="11521" width="38" style="360" customWidth="1"/>
    <col min="11522" max="11522" width="8.42578125" style="360" customWidth="1"/>
    <col min="11523" max="11523" width="15.7109375" style="360" customWidth="1"/>
    <col min="11524" max="11524" width="18.28515625" style="360" customWidth="1"/>
    <col min="11525" max="11525" width="17.85546875" style="360" customWidth="1"/>
    <col min="11526" max="11526" width="0" style="360" hidden="1" customWidth="1"/>
    <col min="11527" max="11527" width="33.28515625" style="360" customWidth="1"/>
    <col min="11528" max="11775" width="10.7109375" style="360"/>
    <col min="11776" max="11776" width="13.140625" style="360" customWidth="1"/>
    <col min="11777" max="11777" width="38" style="360" customWidth="1"/>
    <col min="11778" max="11778" width="8.42578125" style="360" customWidth="1"/>
    <col min="11779" max="11779" width="15.7109375" style="360" customWidth="1"/>
    <col min="11780" max="11780" width="18.28515625" style="360" customWidth="1"/>
    <col min="11781" max="11781" width="17.85546875" style="360" customWidth="1"/>
    <col min="11782" max="11782" width="0" style="360" hidden="1" customWidth="1"/>
    <col min="11783" max="11783" width="33.28515625" style="360" customWidth="1"/>
    <col min="11784" max="12031" width="10.7109375" style="360"/>
    <col min="12032" max="12032" width="13.140625" style="360" customWidth="1"/>
    <col min="12033" max="12033" width="38" style="360" customWidth="1"/>
    <col min="12034" max="12034" width="8.42578125" style="360" customWidth="1"/>
    <col min="12035" max="12035" width="15.7109375" style="360" customWidth="1"/>
    <col min="12036" max="12036" width="18.28515625" style="360" customWidth="1"/>
    <col min="12037" max="12037" width="17.85546875" style="360" customWidth="1"/>
    <col min="12038" max="12038" width="0" style="360" hidden="1" customWidth="1"/>
    <col min="12039" max="12039" width="33.28515625" style="360" customWidth="1"/>
    <col min="12040" max="12287" width="10.7109375" style="360"/>
    <col min="12288" max="12288" width="13.140625" style="360" customWidth="1"/>
    <col min="12289" max="12289" width="38" style="360" customWidth="1"/>
    <col min="12290" max="12290" width="8.42578125" style="360" customWidth="1"/>
    <col min="12291" max="12291" width="15.7109375" style="360" customWidth="1"/>
    <col min="12292" max="12292" width="18.28515625" style="360" customWidth="1"/>
    <col min="12293" max="12293" width="17.85546875" style="360" customWidth="1"/>
    <col min="12294" max="12294" width="0" style="360" hidden="1" customWidth="1"/>
    <col min="12295" max="12295" width="33.28515625" style="360" customWidth="1"/>
    <col min="12296" max="12543" width="10.7109375" style="360"/>
    <col min="12544" max="12544" width="13.140625" style="360" customWidth="1"/>
    <col min="12545" max="12545" width="38" style="360" customWidth="1"/>
    <col min="12546" max="12546" width="8.42578125" style="360" customWidth="1"/>
    <col min="12547" max="12547" width="15.7109375" style="360" customWidth="1"/>
    <col min="12548" max="12548" width="18.28515625" style="360" customWidth="1"/>
    <col min="12549" max="12549" width="17.85546875" style="360" customWidth="1"/>
    <col min="12550" max="12550" width="0" style="360" hidden="1" customWidth="1"/>
    <col min="12551" max="12551" width="33.28515625" style="360" customWidth="1"/>
    <col min="12552" max="12799" width="10.7109375" style="360"/>
    <col min="12800" max="12800" width="13.140625" style="360" customWidth="1"/>
    <col min="12801" max="12801" width="38" style="360" customWidth="1"/>
    <col min="12802" max="12802" width="8.42578125" style="360" customWidth="1"/>
    <col min="12803" max="12803" width="15.7109375" style="360" customWidth="1"/>
    <col min="12804" max="12804" width="18.28515625" style="360" customWidth="1"/>
    <col min="12805" max="12805" width="17.85546875" style="360" customWidth="1"/>
    <col min="12806" max="12806" width="0" style="360" hidden="1" customWidth="1"/>
    <col min="12807" max="12807" width="33.28515625" style="360" customWidth="1"/>
    <col min="12808" max="13055" width="10.7109375" style="360"/>
    <col min="13056" max="13056" width="13.140625" style="360" customWidth="1"/>
    <col min="13057" max="13057" width="38" style="360" customWidth="1"/>
    <col min="13058" max="13058" width="8.42578125" style="360" customWidth="1"/>
    <col min="13059" max="13059" width="15.7109375" style="360" customWidth="1"/>
    <col min="13060" max="13060" width="18.28515625" style="360" customWidth="1"/>
    <col min="13061" max="13061" width="17.85546875" style="360" customWidth="1"/>
    <col min="13062" max="13062" width="0" style="360" hidden="1" customWidth="1"/>
    <col min="13063" max="13063" width="33.28515625" style="360" customWidth="1"/>
    <col min="13064" max="13311" width="10.7109375" style="360"/>
    <col min="13312" max="13312" width="13.140625" style="360" customWidth="1"/>
    <col min="13313" max="13313" width="38" style="360" customWidth="1"/>
    <col min="13314" max="13314" width="8.42578125" style="360" customWidth="1"/>
    <col min="13315" max="13315" width="15.7109375" style="360" customWidth="1"/>
    <col min="13316" max="13316" width="18.28515625" style="360" customWidth="1"/>
    <col min="13317" max="13317" width="17.85546875" style="360" customWidth="1"/>
    <col min="13318" max="13318" width="0" style="360" hidden="1" customWidth="1"/>
    <col min="13319" max="13319" width="33.28515625" style="360" customWidth="1"/>
    <col min="13320" max="13567" width="10.7109375" style="360"/>
    <col min="13568" max="13568" width="13.140625" style="360" customWidth="1"/>
    <col min="13569" max="13569" width="38" style="360" customWidth="1"/>
    <col min="13570" max="13570" width="8.42578125" style="360" customWidth="1"/>
    <col min="13571" max="13571" width="15.7109375" style="360" customWidth="1"/>
    <col min="13572" max="13572" width="18.28515625" style="360" customWidth="1"/>
    <col min="13573" max="13573" width="17.85546875" style="360" customWidth="1"/>
    <col min="13574" max="13574" width="0" style="360" hidden="1" customWidth="1"/>
    <col min="13575" max="13575" width="33.28515625" style="360" customWidth="1"/>
    <col min="13576" max="13823" width="10.7109375" style="360"/>
    <col min="13824" max="13824" width="13.140625" style="360" customWidth="1"/>
    <col min="13825" max="13825" width="38" style="360" customWidth="1"/>
    <col min="13826" max="13826" width="8.42578125" style="360" customWidth="1"/>
    <col min="13827" max="13827" width="15.7109375" style="360" customWidth="1"/>
    <col min="13828" max="13828" width="18.28515625" style="360" customWidth="1"/>
    <col min="13829" max="13829" width="17.85546875" style="360" customWidth="1"/>
    <col min="13830" max="13830" width="0" style="360" hidden="1" customWidth="1"/>
    <col min="13831" max="13831" width="33.28515625" style="360" customWidth="1"/>
    <col min="13832" max="14079" width="10.7109375" style="360"/>
    <col min="14080" max="14080" width="13.140625" style="360" customWidth="1"/>
    <col min="14081" max="14081" width="38" style="360" customWidth="1"/>
    <col min="14082" max="14082" width="8.42578125" style="360" customWidth="1"/>
    <col min="14083" max="14083" width="15.7109375" style="360" customWidth="1"/>
    <col min="14084" max="14084" width="18.28515625" style="360" customWidth="1"/>
    <col min="14085" max="14085" width="17.85546875" style="360" customWidth="1"/>
    <col min="14086" max="14086" width="0" style="360" hidden="1" customWidth="1"/>
    <col min="14087" max="14087" width="33.28515625" style="360" customWidth="1"/>
    <col min="14088" max="14335" width="10.7109375" style="360"/>
    <col min="14336" max="14336" width="13.140625" style="360" customWidth="1"/>
    <col min="14337" max="14337" width="38" style="360" customWidth="1"/>
    <col min="14338" max="14338" width="8.42578125" style="360" customWidth="1"/>
    <col min="14339" max="14339" width="15.7109375" style="360" customWidth="1"/>
    <col min="14340" max="14340" width="18.28515625" style="360" customWidth="1"/>
    <col min="14341" max="14341" width="17.85546875" style="360" customWidth="1"/>
    <col min="14342" max="14342" width="0" style="360" hidden="1" customWidth="1"/>
    <col min="14343" max="14343" width="33.28515625" style="360" customWidth="1"/>
    <col min="14344" max="14591" width="10.7109375" style="360"/>
    <col min="14592" max="14592" width="13.140625" style="360" customWidth="1"/>
    <col min="14593" max="14593" width="38" style="360" customWidth="1"/>
    <col min="14594" max="14594" width="8.42578125" style="360" customWidth="1"/>
    <col min="14595" max="14595" width="15.7109375" style="360" customWidth="1"/>
    <col min="14596" max="14596" width="18.28515625" style="360" customWidth="1"/>
    <col min="14597" max="14597" width="17.85546875" style="360" customWidth="1"/>
    <col min="14598" max="14598" width="0" style="360" hidden="1" customWidth="1"/>
    <col min="14599" max="14599" width="33.28515625" style="360" customWidth="1"/>
    <col min="14600" max="14847" width="10.7109375" style="360"/>
    <col min="14848" max="14848" width="13.140625" style="360" customWidth="1"/>
    <col min="14849" max="14849" width="38" style="360" customWidth="1"/>
    <col min="14850" max="14850" width="8.42578125" style="360" customWidth="1"/>
    <col min="14851" max="14851" width="15.7109375" style="360" customWidth="1"/>
    <col min="14852" max="14852" width="18.28515625" style="360" customWidth="1"/>
    <col min="14853" max="14853" width="17.85546875" style="360" customWidth="1"/>
    <col min="14854" max="14854" width="0" style="360" hidden="1" customWidth="1"/>
    <col min="14855" max="14855" width="33.28515625" style="360" customWidth="1"/>
    <col min="14856" max="15103" width="10.7109375" style="360"/>
    <col min="15104" max="15104" width="13.140625" style="360" customWidth="1"/>
    <col min="15105" max="15105" width="38" style="360" customWidth="1"/>
    <col min="15106" max="15106" width="8.42578125" style="360" customWidth="1"/>
    <col min="15107" max="15107" width="15.7109375" style="360" customWidth="1"/>
    <col min="15108" max="15108" width="18.28515625" style="360" customWidth="1"/>
    <col min="15109" max="15109" width="17.85546875" style="360" customWidth="1"/>
    <col min="15110" max="15110" width="0" style="360" hidden="1" customWidth="1"/>
    <col min="15111" max="15111" width="33.28515625" style="360" customWidth="1"/>
    <col min="15112" max="15359" width="10.7109375" style="360"/>
    <col min="15360" max="15360" width="13.140625" style="360" customWidth="1"/>
    <col min="15361" max="15361" width="38" style="360" customWidth="1"/>
    <col min="15362" max="15362" width="8.42578125" style="360" customWidth="1"/>
    <col min="15363" max="15363" width="15.7109375" style="360" customWidth="1"/>
    <col min="15364" max="15364" width="18.28515625" style="360" customWidth="1"/>
    <col min="15365" max="15365" width="17.85546875" style="360" customWidth="1"/>
    <col min="15366" max="15366" width="0" style="360" hidden="1" customWidth="1"/>
    <col min="15367" max="15367" width="33.28515625" style="360" customWidth="1"/>
    <col min="15368" max="15615" width="10.7109375" style="360"/>
    <col min="15616" max="15616" width="13.140625" style="360" customWidth="1"/>
    <col min="15617" max="15617" width="38" style="360" customWidth="1"/>
    <col min="15618" max="15618" width="8.42578125" style="360" customWidth="1"/>
    <col min="15619" max="15619" width="15.7109375" style="360" customWidth="1"/>
    <col min="15620" max="15620" width="18.28515625" style="360" customWidth="1"/>
    <col min="15621" max="15621" width="17.85546875" style="360" customWidth="1"/>
    <col min="15622" max="15622" width="0" style="360" hidden="1" customWidth="1"/>
    <col min="15623" max="15623" width="33.28515625" style="360" customWidth="1"/>
    <col min="15624" max="15871" width="10.7109375" style="360"/>
    <col min="15872" max="15872" width="13.140625" style="360" customWidth="1"/>
    <col min="15873" max="15873" width="38" style="360" customWidth="1"/>
    <col min="15874" max="15874" width="8.42578125" style="360" customWidth="1"/>
    <col min="15875" max="15875" width="15.7109375" style="360" customWidth="1"/>
    <col min="15876" max="15876" width="18.28515625" style="360" customWidth="1"/>
    <col min="15877" max="15877" width="17.85546875" style="360" customWidth="1"/>
    <col min="15878" max="15878" width="0" style="360" hidden="1" customWidth="1"/>
    <col min="15879" max="15879" width="33.28515625" style="360" customWidth="1"/>
    <col min="15880" max="16127" width="10.7109375" style="360"/>
    <col min="16128" max="16128" width="13.140625" style="360" customWidth="1"/>
    <col min="16129" max="16129" width="38" style="360" customWidth="1"/>
    <col min="16130" max="16130" width="8.42578125" style="360" customWidth="1"/>
    <col min="16131" max="16131" width="15.7109375" style="360" customWidth="1"/>
    <col min="16132" max="16132" width="18.28515625" style="360" customWidth="1"/>
    <col min="16133" max="16133" width="17.85546875" style="360" customWidth="1"/>
    <col min="16134" max="16134" width="0" style="360" hidden="1" customWidth="1"/>
    <col min="16135" max="16135" width="33.28515625" style="360" customWidth="1"/>
    <col min="16136" max="16384" width="10.7109375" style="360"/>
  </cols>
  <sheetData>
    <row r="1" spans="1:9" ht="15" customHeight="1" x14ac:dyDescent="0.25">
      <c r="A1" s="396" t="s">
        <v>997</v>
      </c>
      <c r="B1" s="356"/>
      <c r="C1" s="357"/>
      <c r="D1" s="358"/>
      <c r="E1" s="358"/>
      <c r="F1" s="359"/>
      <c r="G1" s="359"/>
    </row>
    <row r="2" spans="1:9" ht="15" customHeight="1" x14ac:dyDescent="0.3">
      <c r="A2" s="361"/>
      <c r="B2" s="356"/>
      <c r="C2" s="357"/>
      <c r="D2" s="358"/>
      <c r="E2" s="358"/>
      <c r="F2" s="359"/>
      <c r="G2" s="359"/>
    </row>
    <row r="3" spans="1:9" ht="15" customHeight="1" x14ac:dyDescent="0.3">
      <c r="A3" s="359"/>
      <c r="B3" s="362"/>
      <c r="C3" s="357"/>
      <c r="D3" s="358"/>
      <c r="E3" s="358"/>
      <c r="F3" s="359"/>
      <c r="G3" s="359"/>
    </row>
    <row r="4" spans="1:9" ht="15" customHeight="1" x14ac:dyDescent="0.3">
      <c r="A4" s="1445" t="s">
        <v>1178</v>
      </c>
      <c r="B4" s="1445"/>
      <c r="C4" s="1445"/>
      <c r="D4" s="1445"/>
      <c r="E4" s="1445"/>
      <c r="F4" s="1445"/>
      <c r="G4" s="1445"/>
    </row>
    <row r="5" spans="1:9" ht="15" customHeight="1" x14ac:dyDescent="0.3">
      <c r="A5" s="1445" t="s">
        <v>1194</v>
      </c>
      <c r="B5" s="1445"/>
      <c r="C5" s="1445"/>
      <c r="D5" s="1445"/>
      <c r="E5" s="1445"/>
      <c r="F5" s="1445"/>
      <c r="G5" s="1445"/>
    </row>
    <row r="6" spans="1:9" ht="15" customHeight="1" x14ac:dyDescent="0.3">
      <c r="A6" s="1445" t="s">
        <v>998</v>
      </c>
      <c r="B6" s="1445"/>
      <c r="C6" s="1445"/>
      <c r="D6" s="1445"/>
      <c r="E6" s="1445"/>
      <c r="F6" s="1445"/>
      <c r="G6" s="1445"/>
    </row>
    <row r="7" spans="1:9" ht="15" customHeight="1" x14ac:dyDescent="0.3">
      <c r="A7" s="1445" t="s">
        <v>1270</v>
      </c>
      <c r="B7" s="1445"/>
      <c r="C7" s="1445"/>
      <c r="D7" s="1445"/>
      <c r="E7" s="1445"/>
      <c r="F7" s="1445"/>
      <c r="G7" s="1445"/>
    </row>
    <row r="8" spans="1:9" ht="15" customHeight="1" x14ac:dyDescent="0.3">
      <c r="A8" s="359"/>
      <c r="B8" s="362"/>
      <c r="C8" s="357"/>
      <c r="D8" s="358"/>
      <c r="E8" s="358"/>
      <c r="F8" s="359"/>
      <c r="G8" s="359"/>
    </row>
    <row r="9" spans="1:9" ht="25.5" x14ac:dyDescent="0.25">
      <c r="A9" s="1455" t="s">
        <v>1179</v>
      </c>
      <c r="B9" s="1455" t="s">
        <v>1180</v>
      </c>
      <c r="C9" s="1455" t="s">
        <v>1181</v>
      </c>
      <c r="D9" s="1457" t="s">
        <v>1182</v>
      </c>
      <c r="E9" s="67" t="s">
        <v>1183</v>
      </c>
      <c r="F9" s="1455" t="s">
        <v>1184</v>
      </c>
      <c r="G9" s="1455" t="s">
        <v>1185</v>
      </c>
      <c r="I9" s="363"/>
    </row>
    <row r="10" spans="1:9" ht="15" customHeight="1" x14ac:dyDescent="0.25">
      <c r="A10" s="1456"/>
      <c r="B10" s="1456"/>
      <c r="C10" s="1456"/>
      <c r="D10" s="1458"/>
      <c r="E10" s="410" t="s">
        <v>1186</v>
      </c>
      <c r="F10" s="1456"/>
      <c r="G10" s="1456"/>
      <c r="I10" s="363"/>
    </row>
    <row r="11" spans="1:9" ht="15" customHeight="1" x14ac:dyDescent="0.3">
      <c r="A11" s="364">
        <v>1</v>
      </c>
      <c r="B11" s="364">
        <v>2</v>
      </c>
      <c r="C11" s="364">
        <v>3</v>
      </c>
      <c r="D11" s="365">
        <v>4</v>
      </c>
      <c r="E11" s="365">
        <v>5</v>
      </c>
      <c r="F11" s="364">
        <v>7</v>
      </c>
      <c r="G11" s="364">
        <v>6</v>
      </c>
    </row>
    <row r="12" spans="1:9" ht="15" customHeight="1" x14ac:dyDescent="0.3">
      <c r="A12" s="356" t="s">
        <v>1212</v>
      </c>
      <c r="B12" s="408"/>
      <c r="C12" s="408"/>
      <c r="D12" s="409"/>
      <c r="E12" s="409"/>
      <c r="F12" s="408"/>
      <c r="G12" s="408"/>
    </row>
    <row r="13" spans="1:9" ht="26.45" x14ac:dyDescent="0.3">
      <c r="A13" s="366">
        <v>1</v>
      </c>
      <c r="B13" s="367" t="s">
        <v>1214</v>
      </c>
      <c r="C13" s="368">
        <v>1</v>
      </c>
      <c r="D13" s="369">
        <v>500</v>
      </c>
      <c r="E13" s="369">
        <f t="shared" ref="E13:E17" si="0">C13*D13</f>
        <v>500</v>
      </c>
      <c r="F13" s="367"/>
      <c r="G13" s="367" t="s">
        <v>1213</v>
      </c>
      <c r="H13" s="360" t="s">
        <v>1215</v>
      </c>
    </row>
    <row r="14" spans="1:9" ht="26.45" x14ac:dyDescent="0.3">
      <c r="A14" s="366">
        <v>2</v>
      </c>
      <c r="B14" s="367" t="s">
        <v>1216</v>
      </c>
      <c r="C14" s="368">
        <v>3</v>
      </c>
      <c r="D14" s="412">
        <f>1400/1.19</f>
        <v>1176.4705882352941</v>
      </c>
      <c r="E14" s="369">
        <f t="shared" si="0"/>
        <v>3529.4117647058824</v>
      </c>
      <c r="F14" s="367"/>
      <c r="G14" s="367" t="s">
        <v>1219</v>
      </c>
      <c r="H14" s="360" t="s">
        <v>1218</v>
      </c>
    </row>
    <row r="15" spans="1:9" ht="15" customHeight="1" x14ac:dyDescent="0.3">
      <c r="A15" s="356" t="s">
        <v>1210</v>
      </c>
      <c r="B15" s="408"/>
      <c r="C15" s="408"/>
      <c r="D15" s="409"/>
      <c r="E15" s="409"/>
      <c r="F15" s="408"/>
      <c r="G15" s="408"/>
    </row>
    <row r="16" spans="1:9" ht="26.45" x14ac:dyDescent="0.3">
      <c r="A16" s="366">
        <v>1</v>
      </c>
      <c r="B16" s="367" t="s">
        <v>1190</v>
      </c>
      <c r="C16" s="368">
        <v>1</v>
      </c>
      <c r="D16" s="369">
        <v>1050</v>
      </c>
      <c r="E16" s="369">
        <f t="shared" si="0"/>
        <v>1050</v>
      </c>
      <c r="F16" s="367"/>
      <c r="G16" s="367" t="s">
        <v>1193</v>
      </c>
      <c r="H16" s="360" t="s">
        <v>1189</v>
      </c>
    </row>
    <row r="17" spans="1:8" ht="26.45" x14ac:dyDescent="0.3">
      <c r="A17" s="366">
        <v>2</v>
      </c>
      <c r="B17" s="367" t="s">
        <v>1191</v>
      </c>
      <c r="C17" s="368">
        <v>3</v>
      </c>
      <c r="D17" s="369">
        <v>850</v>
      </c>
      <c r="E17" s="369">
        <f t="shared" si="0"/>
        <v>2550</v>
      </c>
      <c r="F17" s="367"/>
      <c r="G17" s="367" t="s">
        <v>1197</v>
      </c>
      <c r="H17" s="360" t="s">
        <v>1198</v>
      </c>
    </row>
    <row r="18" spans="1:8" ht="26.45" x14ac:dyDescent="0.3">
      <c r="A18" s="402">
        <v>3</v>
      </c>
      <c r="B18" s="399" t="s">
        <v>1192</v>
      </c>
      <c r="C18" s="400">
        <v>1</v>
      </c>
      <c r="D18" s="401">
        <v>2300</v>
      </c>
      <c r="E18" s="401">
        <f>C18*D18</f>
        <v>2300</v>
      </c>
      <c r="F18" s="399"/>
      <c r="G18" s="399" t="s">
        <v>1195</v>
      </c>
    </row>
    <row r="19" spans="1:8" ht="26.45" x14ac:dyDescent="0.3">
      <c r="A19" s="366">
        <v>4</v>
      </c>
      <c r="B19" s="367" t="s">
        <v>1192</v>
      </c>
      <c r="C19" s="368">
        <v>1</v>
      </c>
      <c r="D19" s="369">
        <v>2000</v>
      </c>
      <c r="E19" s="369">
        <f>C19*D19</f>
        <v>2000</v>
      </c>
      <c r="F19" s="367"/>
      <c r="G19" s="367" t="s">
        <v>1196</v>
      </c>
    </row>
    <row r="20" spans="1:8" ht="13.15" x14ac:dyDescent="0.3">
      <c r="A20" s="356" t="s">
        <v>1211</v>
      </c>
      <c r="B20" s="403"/>
      <c r="C20" s="404"/>
      <c r="D20" s="405"/>
      <c r="E20" s="405"/>
      <c r="F20" s="403"/>
      <c r="G20" s="403"/>
    </row>
    <row r="21" spans="1:8" ht="13.15" x14ac:dyDescent="0.3">
      <c r="A21" s="366">
        <v>1</v>
      </c>
      <c r="B21" s="367" t="s">
        <v>1199</v>
      </c>
      <c r="C21" s="368">
        <v>8</v>
      </c>
      <c r="D21" s="369">
        <v>110</v>
      </c>
      <c r="E21" s="369">
        <f>C21*D21</f>
        <v>880</v>
      </c>
      <c r="F21" s="367"/>
      <c r="G21" s="367" t="s">
        <v>1209</v>
      </c>
    </row>
    <row r="22" spans="1:8" ht="30" customHeight="1" x14ac:dyDescent="0.3">
      <c r="A22" s="366">
        <v>2</v>
      </c>
      <c r="B22" s="393" t="s">
        <v>1256</v>
      </c>
      <c r="C22" s="394">
        <v>15</v>
      </c>
      <c r="D22" s="369">
        <v>1650</v>
      </c>
      <c r="E22" s="369">
        <f t="shared" ref="E22:E41" si="1">C22*D22</f>
        <v>24750</v>
      </c>
      <c r="F22" s="367" t="s">
        <v>1187</v>
      </c>
      <c r="G22" s="393" t="s">
        <v>1260</v>
      </c>
      <c r="H22" s="360" t="s">
        <v>1264</v>
      </c>
    </row>
    <row r="23" spans="1:8" ht="26.45" x14ac:dyDescent="0.3">
      <c r="A23" s="366">
        <v>3</v>
      </c>
      <c r="B23" s="393" t="s">
        <v>1257</v>
      </c>
      <c r="C23" s="394">
        <v>3</v>
      </c>
      <c r="D23" s="369">
        <v>18000</v>
      </c>
      <c r="E23" s="369">
        <f t="shared" si="1"/>
        <v>54000</v>
      </c>
      <c r="F23" s="367"/>
      <c r="G23" s="393" t="s">
        <v>1261</v>
      </c>
      <c r="H23" s="360" t="s">
        <v>1265</v>
      </c>
    </row>
    <row r="24" spans="1:8" ht="14.45" x14ac:dyDescent="0.3">
      <c r="A24" s="366">
        <v>4</v>
      </c>
      <c r="B24" s="367" t="s">
        <v>1258</v>
      </c>
      <c r="C24" s="368">
        <v>2</v>
      </c>
      <c r="D24" s="395">
        <v>35000</v>
      </c>
      <c r="E24" s="369">
        <f t="shared" si="1"/>
        <v>70000</v>
      </c>
      <c r="F24" s="393"/>
      <c r="G24" s="367" t="s">
        <v>1262</v>
      </c>
      <c r="H24" s="426" t="s">
        <v>1266</v>
      </c>
    </row>
    <row r="25" spans="1:8" ht="26.45" x14ac:dyDescent="0.3">
      <c r="A25" s="366">
        <v>5</v>
      </c>
      <c r="B25" s="367" t="s">
        <v>1259</v>
      </c>
      <c r="C25" s="368">
        <v>1</v>
      </c>
      <c r="D25" s="369">
        <v>300</v>
      </c>
      <c r="E25" s="369">
        <f t="shared" si="1"/>
        <v>300</v>
      </c>
      <c r="F25" s="367"/>
      <c r="G25" s="367" t="s">
        <v>1263</v>
      </c>
      <c r="H25" s="360" t="s">
        <v>1267</v>
      </c>
    </row>
    <row r="26" spans="1:8" ht="26.45" x14ac:dyDescent="0.3">
      <c r="A26" s="366">
        <v>6</v>
      </c>
      <c r="B26" s="367" t="s">
        <v>1268</v>
      </c>
      <c r="C26" s="368">
        <v>3</v>
      </c>
      <c r="D26" s="369">
        <v>1750</v>
      </c>
      <c r="E26" s="369">
        <f t="shared" si="1"/>
        <v>5250</v>
      </c>
      <c r="F26" s="367"/>
      <c r="G26" s="367" t="s">
        <v>1271</v>
      </c>
    </row>
    <row r="27" spans="1:8" ht="13.15" x14ac:dyDescent="0.3">
      <c r="A27" s="366">
        <v>7</v>
      </c>
      <c r="B27" s="367" t="s">
        <v>1200</v>
      </c>
      <c r="C27" s="368">
        <v>4</v>
      </c>
      <c r="D27" s="369">
        <v>300</v>
      </c>
      <c r="E27" s="369">
        <f t="shared" si="1"/>
        <v>1200</v>
      </c>
      <c r="F27" s="367"/>
      <c r="G27" s="367" t="s">
        <v>1202</v>
      </c>
    </row>
    <row r="28" spans="1:8" ht="13.15" x14ac:dyDescent="0.3">
      <c r="A28" s="366">
        <v>8</v>
      </c>
      <c r="B28" s="367" t="s">
        <v>1201</v>
      </c>
      <c r="C28" s="368">
        <v>4</v>
      </c>
      <c r="D28" s="369">
        <v>200</v>
      </c>
      <c r="E28" s="369">
        <f t="shared" si="1"/>
        <v>800</v>
      </c>
      <c r="F28" s="367"/>
      <c r="G28" s="367" t="s">
        <v>1202</v>
      </c>
    </row>
    <row r="29" spans="1:8" ht="13.15" x14ac:dyDescent="0.3">
      <c r="A29" s="366">
        <v>9</v>
      </c>
      <c r="B29" s="367" t="s">
        <v>1203</v>
      </c>
      <c r="C29" s="368">
        <v>1</v>
      </c>
      <c r="D29" s="369">
        <v>100</v>
      </c>
      <c r="E29" s="369">
        <f t="shared" si="1"/>
        <v>100</v>
      </c>
      <c r="F29" s="367"/>
      <c r="G29" s="367" t="s">
        <v>1204</v>
      </c>
    </row>
    <row r="30" spans="1:8" ht="26.45" x14ac:dyDescent="0.3">
      <c r="A30" s="366">
        <v>10</v>
      </c>
      <c r="B30" s="367" t="s">
        <v>1268</v>
      </c>
      <c r="C30" s="368">
        <v>2</v>
      </c>
      <c r="D30" s="369">
        <v>1750</v>
      </c>
      <c r="E30" s="369">
        <f t="shared" si="1"/>
        <v>3500</v>
      </c>
      <c r="F30" s="367"/>
      <c r="G30" s="367" t="s">
        <v>1272</v>
      </c>
    </row>
    <row r="31" spans="1:8" ht="13.15" x14ac:dyDescent="0.3">
      <c r="A31" s="366">
        <v>11</v>
      </c>
      <c r="B31" s="367" t="s">
        <v>1201</v>
      </c>
      <c r="C31" s="368">
        <v>1</v>
      </c>
      <c r="D31" s="369">
        <v>250</v>
      </c>
      <c r="E31" s="369">
        <f t="shared" si="1"/>
        <v>250</v>
      </c>
      <c r="F31" s="367"/>
      <c r="G31" s="367" t="s">
        <v>1205</v>
      </c>
    </row>
    <row r="32" spans="1:8" ht="13.15" x14ac:dyDescent="0.3">
      <c r="A32" s="366">
        <v>12</v>
      </c>
      <c r="B32" s="367" t="s">
        <v>1203</v>
      </c>
      <c r="C32" s="368">
        <v>1</v>
      </c>
      <c r="D32" s="369">
        <v>100</v>
      </c>
      <c r="E32" s="369">
        <f t="shared" si="1"/>
        <v>100</v>
      </c>
      <c r="F32" s="367"/>
      <c r="G32" s="367" t="s">
        <v>1204</v>
      </c>
    </row>
    <row r="33" spans="1:7" ht="13.15" x14ac:dyDescent="0.3">
      <c r="A33" s="366">
        <v>13</v>
      </c>
      <c r="B33" s="367" t="s">
        <v>1200</v>
      </c>
      <c r="C33" s="368">
        <v>3</v>
      </c>
      <c r="D33" s="369">
        <v>100</v>
      </c>
      <c r="E33" s="369">
        <f t="shared" si="1"/>
        <v>300</v>
      </c>
      <c r="F33" s="367"/>
      <c r="G33" s="367" t="s">
        <v>1204</v>
      </c>
    </row>
    <row r="34" spans="1:7" ht="13.15" x14ac:dyDescent="0.3">
      <c r="A34" s="366">
        <v>14</v>
      </c>
      <c r="B34" s="367" t="s">
        <v>1206</v>
      </c>
      <c r="C34" s="368">
        <v>3</v>
      </c>
      <c r="D34" s="369">
        <v>100</v>
      </c>
      <c r="E34" s="369">
        <f t="shared" si="1"/>
        <v>300</v>
      </c>
      <c r="F34" s="367"/>
      <c r="G34" s="367" t="s">
        <v>1204</v>
      </c>
    </row>
    <row r="35" spans="1:7" ht="13.15" x14ac:dyDescent="0.3">
      <c r="A35" s="366">
        <v>15</v>
      </c>
      <c r="B35" s="367" t="s">
        <v>1203</v>
      </c>
      <c r="C35" s="368">
        <v>2</v>
      </c>
      <c r="D35" s="369">
        <v>125</v>
      </c>
      <c r="E35" s="369">
        <f t="shared" si="1"/>
        <v>250</v>
      </c>
      <c r="F35" s="367"/>
      <c r="G35" s="367" t="s">
        <v>1207</v>
      </c>
    </row>
    <row r="36" spans="1:7" ht="13.15" x14ac:dyDescent="0.3">
      <c r="A36" s="366">
        <v>16</v>
      </c>
      <c r="B36" s="367" t="s">
        <v>1269</v>
      </c>
      <c r="C36" s="368"/>
      <c r="D36" s="369"/>
      <c r="E36" s="369">
        <f t="shared" si="1"/>
        <v>0</v>
      </c>
      <c r="F36" s="367"/>
      <c r="G36" s="367"/>
    </row>
    <row r="37" spans="1:7" ht="13.15" x14ac:dyDescent="0.3">
      <c r="A37" s="366">
        <v>17</v>
      </c>
      <c r="B37" s="367" t="s">
        <v>1201</v>
      </c>
      <c r="C37" s="368">
        <v>1</v>
      </c>
      <c r="D37" s="369">
        <v>250</v>
      </c>
      <c r="E37" s="369">
        <f t="shared" si="1"/>
        <v>250</v>
      </c>
      <c r="F37" s="367"/>
      <c r="G37" s="367" t="s">
        <v>1205</v>
      </c>
    </row>
    <row r="38" spans="1:7" ht="13.15" x14ac:dyDescent="0.3">
      <c r="A38" s="366">
        <v>18</v>
      </c>
      <c r="B38" s="367" t="s">
        <v>1203</v>
      </c>
      <c r="C38" s="368">
        <v>1</v>
      </c>
      <c r="D38" s="369">
        <v>100</v>
      </c>
      <c r="E38" s="369">
        <f t="shared" si="1"/>
        <v>100</v>
      </c>
      <c r="F38" s="367"/>
      <c r="G38" s="367" t="s">
        <v>1204</v>
      </c>
    </row>
    <row r="39" spans="1:7" ht="13.15" x14ac:dyDescent="0.3">
      <c r="A39" s="366">
        <v>19</v>
      </c>
      <c r="B39" s="367" t="s">
        <v>1200</v>
      </c>
      <c r="C39" s="368">
        <v>3</v>
      </c>
      <c r="D39" s="369">
        <v>125</v>
      </c>
      <c r="E39" s="369">
        <f t="shared" si="1"/>
        <v>375</v>
      </c>
      <c r="F39" s="367"/>
      <c r="G39" s="367" t="s">
        <v>1208</v>
      </c>
    </row>
    <row r="40" spans="1:7" ht="13.15" x14ac:dyDescent="0.3">
      <c r="A40" s="366">
        <v>20</v>
      </c>
      <c r="B40" s="367" t="s">
        <v>1206</v>
      </c>
      <c r="C40" s="368">
        <v>3</v>
      </c>
      <c r="D40" s="369">
        <v>100</v>
      </c>
      <c r="E40" s="369">
        <f t="shared" si="1"/>
        <v>300</v>
      </c>
      <c r="F40" s="367"/>
      <c r="G40" s="367" t="s">
        <v>1208</v>
      </c>
    </row>
    <row r="41" spans="1:7" ht="13.15" x14ac:dyDescent="0.3">
      <c r="A41" s="366">
        <v>21</v>
      </c>
      <c r="B41" s="367" t="s">
        <v>1203</v>
      </c>
      <c r="C41" s="368">
        <v>2</v>
      </c>
      <c r="D41" s="369">
        <v>125</v>
      </c>
      <c r="E41" s="369">
        <f t="shared" si="1"/>
        <v>250</v>
      </c>
      <c r="F41" s="367"/>
      <c r="G41" s="367" t="s">
        <v>1207</v>
      </c>
    </row>
    <row r="42" spans="1:7" ht="15" customHeight="1" x14ac:dyDescent="0.3">
      <c r="A42" s="1444" t="s">
        <v>545</v>
      </c>
      <c r="B42" s="1444"/>
      <c r="C42" s="1444"/>
      <c r="D42" s="1444"/>
      <c r="E42" s="370">
        <f>SUM(E12:E25)</f>
        <v>161859.41176470587</v>
      </c>
      <c r="F42" s="1444" t="s">
        <v>1188</v>
      </c>
      <c r="G42" s="1444"/>
    </row>
    <row r="43" spans="1:7" ht="15" customHeight="1" x14ac:dyDescent="0.3">
      <c r="A43" s="359"/>
      <c r="B43" s="371"/>
      <c r="C43" s="372"/>
      <c r="D43" s="358"/>
      <c r="E43" s="358"/>
      <c r="F43" s="359"/>
      <c r="G43" s="359"/>
    </row>
    <row r="44" spans="1:7" ht="15" customHeight="1" x14ac:dyDescent="0.25">
      <c r="A44" s="359"/>
      <c r="B44" s="362"/>
      <c r="C44" s="357"/>
      <c r="D44" s="358"/>
      <c r="E44" s="358"/>
      <c r="F44" s="359"/>
      <c r="G44" s="44" t="s">
        <v>82</v>
      </c>
    </row>
    <row r="45" spans="1:7" ht="15" customHeight="1" x14ac:dyDescent="0.25">
      <c r="A45" s="359"/>
      <c r="B45" s="371"/>
      <c r="C45" s="357"/>
      <c r="D45" s="358"/>
      <c r="E45" s="358"/>
      <c r="F45" s="359"/>
      <c r="G45" s="45" t="s">
        <v>349</v>
      </c>
    </row>
    <row r="46" spans="1:7" ht="15" customHeight="1" x14ac:dyDescent="0.25">
      <c r="A46" s="359"/>
      <c r="B46" s="362"/>
      <c r="C46" s="357"/>
      <c r="D46" s="358"/>
      <c r="E46" s="358"/>
      <c r="F46" s="359"/>
      <c r="G46" s="44" t="s">
        <v>350</v>
      </c>
    </row>
    <row r="47" spans="1:7" ht="15" customHeight="1" x14ac:dyDescent="0.25">
      <c r="A47" s="359"/>
      <c r="B47" s="371"/>
      <c r="C47" s="357"/>
      <c r="D47" s="358"/>
      <c r="E47" s="358"/>
      <c r="F47" s="359"/>
      <c r="G47" s="45" t="s">
        <v>83</v>
      </c>
    </row>
    <row r="48" spans="1:7" ht="15" customHeight="1" x14ac:dyDescent="0.25">
      <c r="A48" s="359"/>
      <c r="B48" s="362"/>
      <c r="C48" s="357"/>
      <c r="D48" s="358"/>
      <c r="E48" s="358"/>
      <c r="F48" s="359"/>
      <c r="G48" s="45" t="s">
        <v>351</v>
      </c>
    </row>
    <row r="49" spans="1:7" ht="15" customHeight="1" x14ac:dyDescent="0.25">
      <c r="A49" s="359"/>
      <c r="B49" s="371"/>
      <c r="C49" s="357"/>
      <c r="D49" s="358"/>
      <c r="E49" s="358"/>
      <c r="F49" s="359"/>
      <c r="G49" s="359"/>
    </row>
    <row r="50" spans="1:7" ht="15" customHeight="1" x14ac:dyDescent="0.25"/>
    <row r="51" spans="1:7" ht="15" customHeight="1" x14ac:dyDescent="0.25">
      <c r="A51" s="373"/>
      <c r="C51" s="373"/>
      <c r="D51" s="523"/>
      <c r="E51" s="523"/>
      <c r="F51" s="373"/>
      <c r="G51" s="373"/>
    </row>
    <row r="52" spans="1:7" ht="15" customHeight="1" x14ac:dyDescent="0.25">
      <c r="A52" s="373"/>
      <c r="B52" s="373" t="s">
        <v>1426</v>
      </c>
      <c r="C52" s="373"/>
      <c r="D52" s="523"/>
      <c r="E52" s="523"/>
      <c r="F52" s="373"/>
      <c r="G52" s="373"/>
    </row>
    <row r="53" spans="1:7" ht="15" customHeight="1" x14ac:dyDescent="0.25">
      <c r="A53" s="524"/>
      <c r="B53" s="373" t="s">
        <v>1427</v>
      </c>
      <c r="C53" s="373">
        <v>2</v>
      </c>
      <c r="D53" s="523"/>
      <c r="E53" s="523"/>
      <c r="F53" s="373"/>
      <c r="G53" s="373" t="s">
        <v>1429</v>
      </c>
    </row>
    <row r="54" spans="1:7" ht="15" customHeight="1" x14ac:dyDescent="0.25">
      <c r="A54" s="525"/>
      <c r="B54" s="373" t="s">
        <v>1428</v>
      </c>
      <c r="C54" s="373">
        <v>2</v>
      </c>
      <c r="D54" s="523"/>
      <c r="E54" s="523"/>
      <c r="F54" s="373"/>
      <c r="G54" s="373" t="s">
        <v>1430</v>
      </c>
    </row>
    <row r="55" spans="1:7" ht="15" customHeight="1" x14ac:dyDescent="0.25">
      <c r="A55" s="527"/>
      <c r="B55" s="373" t="s">
        <v>1431</v>
      </c>
      <c r="C55" s="373">
        <v>1</v>
      </c>
      <c r="D55" s="523"/>
      <c r="E55" s="523"/>
      <c r="F55" s="373"/>
      <c r="G55" s="389" t="s">
        <v>1432</v>
      </c>
    </row>
    <row r="56" spans="1:7" ht="15" customHeight="1" x14ac:dyDescent="0.25">
      <c r="A56" s="525"/>
      <c r="B56" s="373" t="s">
        <v>1433</v>
      </c>
      <c r="C56" s="373">
        <v>1</v>
      </c>
      <c r="D56" s="523"/>
      <c r="E56" s="523"/>
      <c r="F56" s="373"/>
      <c r="G56" s="373"/>
    </row>
    <row r="57" spans="1:7" ht="15" customHeight="1" x14ac:dyDescent="0.25">
      <c r="A57" s="525"/>
      <c r="C57" s="373"/>
      <c r="D57" s="523"/>
      <c r="E57" s="523"/>
      <c r="F57" s="373"/>
      <c r="G57" s="389"/>
    </row>
    <row r="58" spans="1:7" ht="15" customHeight="1" x14ac:dyDescent="0.25">
      <c r="A58" s="525"/>
      <c r="C58" s="373"/>
      <c r="D58" s="523"/>
      <c r="E58" s="523"/>
      <c r="F58" s="373"/>
      <c r="G58" s="373"/>
    </row>
    <row r="59" spans="1:7" ht="15" customHeight="1" x14ac:dyDescent="0.25">
      <c r="A59" s="525"/>
      <c r="C59" s="373"/>
      <c r="D59" s="523"/>
      <c r="E59" s="523"/>
      <c r="F59" s="373"/>
      <c r="G59" s="373"/>
    </row>
    <row r="60" spans="1:7" ht="15" customHeight="1" x14ac:dyDescent="0.25">
      <c r="A60" s="525"/>
      <c r="C60" s="373"/>
      <c r="D60" s="523"/>
      <c r="E60" s="523"/>
      <c r="F60" s="373"/>
      <c r="G60" s="389"/>
    </row>
    <row r="61" spans="1:7" ht="15" customHeight="1" x14ac:dyDescent="0.25">
      <c r="A61" s="525"/>
      <c r="C61" s="373"/>
      <c r="D61" s="523"/>
      <c r="E61" s="523"/>
      <c r="F61" s="373"/>
      <c r="G61" s="373"/>
    </row>
    <row r="62" spans="1:7" ht="15" customHeight="1" x14ac:dyDescent="0.25">
      <c r="A62" s="525"/>
      <c r="C62" s="373"/>
      <c r="D62" s="523"/>
      <c r="E62" s="523"/>
      <c r="F62" s="373"/>
      <c r="G62" s="389"/>
    </row>
    <row r="63" spans="1:7" ht="15" customHeight="1" x14ac:dyDescent="0.25">
      <c r="A63" s="525"/>
      <c r="C63" s="373"/>
      <c r="D63" s="523"/>
      <c r="E63" s="523"/>
      <c r="F63" s="373"/>
      <c r="G63" s="373"/>
    </row>
    <row r="64" spans="1:7" ht="15" customHeight="1" x14ac:dyDescent="0.25">
      <c r="A64" s="525"/>
      <c r="C64" s="373"/>
      <c r="D64" s="523"/>
      <c r="E64" s="523"/>
      <c r="F64" s="373"/>
      <c r="G64" s="389"/>
    </row>
    <row r="65" spans="1:15" ht="15" customHeight="1" x14ac:dyDescent="0.25">
      <c r="A65" s="525"/>
      <c r="C65" s="373"/>
      <c r="D65" s="523"/>
      <c r="E65" s="523"/>
      <c r="F65" s="373"/>
      <c r="G65" s="373"/>
    </row>
    <row r="66" spans="1:15" ht="15" customHeight="1" x14ac:dyDescent="0.25">
      <c r="A66" s="525"/>
      <c r="C66" s="373"/>
      <c r="D66" s="523"/>
      <c r="E66" s="523"/>
      <c r="F66" s="373"/>
      <c r="G66" s="373"/>
    </row>
    <row r="67" spans="1:15" ht="15" customHeight="1" x14ac:dyDescent="0.25">
      <c r="A67" s="525"/>
      <c r="C67" s="373"/>
      <c r="D67" s="523"/>
      <c r="E67" s="523"/>
      <c r="F67" s="373"/>
      <c r="G67" s="389"/>
    </row>
    <row r="68" spans="1:15" ht="15" customHeight="1" x14ac:dyDescent="0.25">
      <c r="A68" s="525"/>
      <c r="C68" s="373"/>
      <c r="D68" s="523"/>
      <c r="E68" s="523"/>
      <c r="F68" s="373"/>
      <c r="G68" s="373"/>
      <c r="H68" s="374"/>
      <c r="I68" s="374"/>
      <c r="J68" s="374"/>
      <c r="K68" s="374"/>
      <c r="L68" s="374"/>
      <c r="M68" s="374"/>
      <c r="N68" s="374"/>
      <c r="O68" s="374"/>
    </row>
    <row r="69" spans="1:15" ht="15" customHeight="1" x14ac:dyDescent="0.25">
      <c r="A69" s="525"/>
      <c r="C69" s="373"/>
      <c r="D69" s="523"/>
      <c r="E69" s="523"/>
      <c r="F69" s="373"/>
      <c r="G69" s="389"/>
      <c r="H69" s="374"/>
      <c r="I69" s="374"/>
      <c r="J69" s="374"/>
      <c r="K69" s="374"/>
      <c r="L69" s="374"/>
      <c r="M69" s="374"/>
      <c r="N69" s="374"/>
      <c r="O69" s="374"/>
    </row>
    <row r="70" spans="1:15" ht="15" customHeight="1" x14ac:dyDescent="0.25">
      <c r="A70" s="525"/>
      <c r="C70" s="373"/>
      <c r="D70" s="523"/>
      <c r="E70" s="523"/>
      <c r="F70" s="373"/>
      <c r="G70" s="373"/>
      <c r="H70" s="374"/>
      <c r="I70" s="374"/>
      <c r="J70" s="374"/>
      <c r="K70" s="374"/>
      <c r="L70" s="374"/>
      <c r="M70" s="374"/>
      <c r="N70" s="374"/>
      <c r="O70" s="374"/>
    </row>
    <row r="71" spans="1:15" ht="15" customHeight="1" x14ac:dyDescent="0.25">
      <c r="A71" s="525"/>
      <c r="C71" s="373"/>
      <c r="D71" s="523"/>
      <c r="E71" s="523"/>
      <c r="F71" s="373"/>
      <c r="G71" s="373"/>
      <c r="H71" s="374"/>
      <c r="I71" s="374"/>
      <c r="J71" s="374"/>
      <c r="K71" s="374"/>
      <c r="L71" s="374"/>
      <c r="M71" s="374"/>
      <c r="N71" s="374"/>
      <c r="O71" s="374"/>
    </row>
    <row r="72" spans="1:15" ht="15" customHeight="1" x14ac:dyDescent="0.25">
      <c r="A72" s="525"/>
      <c r="C72" s="373"/>
      <c r="D72" s="523"/>
      <c r="E72" s="523"/>
      <c r="F72" s="373"/>
      <c r="G72" s="389"/>
      <c r="H72" s="374"/>
      <c r="I72" s="374"/>
      <c r="J72" s="374"/>
      <c r="K72" s="374"/>
      <c r="L72" s="374"/>
      <c r="M72" s="374"/>
      <c r="N72" s="374"/>
      <c r="O72" s="374"/>
    </row>
    <row r="73" spans="1:15" ht="15" customHeight="1" x14ac:dyDescent="0.25">
      <c r="A73" s="525"/>
      <c r="B73" s="526"/>
      <c r="C73" s="373"/>
      <c r="D73" s="523"/>
      <c r="E73" s="523"/>
      <c r="F73" s="373"/>
      <c r="G73" s="389"/>
      <c r="H73" s="374"/>
      <c r="I73" s="374"/>
      <c r="J73" s="374"/>
      <c r="K73" s="374"/>
      <c r="L73" s="374"/>
      <c r="M73" s="374"/>
      <c r="N73" s="374"/>
      <c r="O73" s="374"/>
    </row>
    <row r="74" spans="1:15" ht="15" customHeight="1" x14ac:dyDescent="0.25">
      <c r="A74" s="525"/>
      <c r="C74" s="373"/>
      <c r="D74" s="523"/>
      <c r="E74" s="523"/>
      <c r="F74" s="373"/>
      <c r="G74" s="389"/>
      <c r="H74" s="374"/>
      <c r="I74" s="374"/>
      <c r="J74" s="374"/>
      <c r="K74" s="374"/>
      <c r="L74" s="374"/>
      <c r="M74" s="374"/>
      <c r="N74" s="374"/>
      <c r="O74" s="374"/>
    </row>
    <row r="75" spans="1:15" ht="15" customHeight="1" x14ac:dyDescent="0.25">
      <c r="A75" s="525"/>
      <c r="C75" s="373"/>
      <c r="D75" s="523"/>
      <c r="E75" s="523"/>
      <c r="F75" s="373"/>
      <c r="G75" s="389"/>
      <c r="H75" s="374"/>
      <c r="I75" s="374"/>
      <c r="J75" s="374"/>
      <c r="K75" s="374"/>
      <c r="L75" s="374"/>
      <c r="M75" s="374"/>
      <c r="N75" s="374"/>
      <c r="O75" s="374"/>
    </row>
    <row r="76" spans="1:15" ht="15" customHeight="1" x14ac:dyDescent="0.25">
      <c r="A76" s="525"/>
      <c r="C76" s="373"/>
      <c r="D76" s="523"/>
      <c r="E76" s="523"/>
      <c r="F76" s="373"/>
      <c r="G76" s="389"/>
      <c r="H76" s="374"/>
      <c r="I76" s="374"/>
      <c r="J76" s="374"/>
      <c r="K76" s="374"/>
      <c r="L76" s="374"/>
      <c r="M76" s="374"/>
      <c r="N76" s="374"/>
      <c r="O76" s="374"/>
    </row>
    <row r="77" spans="1:15" ht="15" customHeight="1" x14ac:dyDescent="0.25">
      <c r="A77" s="525"/>
      <c r="C77" s="373"/>
      <c r="D77" s="523"/>
      <c r="E77" s="523"/>
      <c r="F77" s="373"/>
      <c r="G77" s="389"/>
      <c r="H77" s="374"/>
      <c r="I77" s="374"/>
      <c r="J77" s="374"/>
      <c r="K77" s="374"/>
      <c r="L77" s="374"/>
      <c r="M77" s="374"/>
      <c r="N77" s="374"/>
      <c r="O77" s="374"/>
    </row>
    <row r="78" spans="1:15" ht="15" customHeight="1" x14ac:dyDescent="0.25">
      <c r="A78" s="525"/>
      <c r="C78" s="373"/>
      <c r="D78" s="523"/>
      <c r="E78" s="523"/>
      <c r="F78" s="373"/>
      <c r="G78" s="389"/>
      <c r="H78" s="374"/>
      <c r="I78" s="374"/>
      <c r="J78" s="374"/>
      <c r="K78" s="374"/>
      <c r="L78" s="374"/>
      <c r="M78" s="374"/>
      <c r="N78" s="374"/>
      <c r="O78" s="374"/>
    </row>
    <row r="79" spans="1:15" ht="15" customHeight="1" x14ac:dyDescent="0.25">
      <c r="A79" s="525"/>
      <c r="C79" s="373"/>
      <c r="D79" s="523"/>
      <c r="E79" s="523"/>
      <c r="F79" s="373"/>
      <c r="G79" s="389"/>
      <c r="H79" s="374"/>
      <c r="I79" s="374"/>
      <c r="J79" s="374"/>
      <c r="K79" s="374"/>
      <c r="L79" s="374"/>
      <c r="M79" s="374"/>
      <c r="N79" s="374"/>
      <c r="O79" s="374"/>
    </row>
    <row r="80" spans="1:15" ht="15" customHeight="1" x14ac:dyDescent="0.25">
      <c r="A80" s="376"/>
      <c r="B80" s="360"/>
      <c r="D80" s="380"/>
      <c r="E80" s="380"/>
      <c r="F80" s="374"/>
      <c r="G80" s="374"/>
      <c r="H80" s="374"/>
      <c r="I80" s="374"/>
      <c r="J80" s="374"/>
      <c r="K80" s="374"/>
      <c r="L80" s="374"/>
      <c r="M80" s="374"/>
      <c r="N80" s="374"/>
      <c r="O80" s="374"/>
    </row>
    <row r="81" spans="1:15" ht="15" customHeight="1" x14ac:dyDescent="0.25">
      <c r="A81" s="376"/>
      <c r="B81" s="360"/>
      <c r="D81" s="380"/>
      <c r="E81" s="380"/>
      <c r="F81" s="374"/>
      <c r="G81" s="374"/>
      <c r="H81" s="374"/>
      <c r="I81" s="374"/>
      <c r="J81" s="374"/>
      <c r="K81" s="374"/>
      <c r="L81" s="374"/>
      <c r="M81" s="374"/>
      <c r="N81" s="374"/>
      <c r="O81" s="374"/>
    </row>
    <row r="82" spans="1:15" ht="15" customHeight="1" x14ac:dyDescent="0.25">
      <c r="B82" s="360"/>
      <c r="D82" s="380"/>
      <c r="E82" s="380"/>
      <c r="F82" s="374"/>
      <c r="G82" s="374"/>
      <c r="H82" s="374"/>
      <c r="I82" s="374"/>
      <c r="J82" s="374"/>
      <c r="K82" s="374"/>
      <c r="L82" s="374"/>
      <c r="M82" s="374"/>
      <c r="N82" s="374"/>
      <c r="O82" s="374"/>
    </row>
    <row r="83" spans="1:15" ht="15" customHeight="1" x14ac:dyDescent="0.25">
      <c r="B83" s="360"/>
      <c r="D83" s="380"/>
      <c r="E83" s="380"/>
      <c r="F83" s="374"/>
      <c r="G83" s="374"/>
      <c r="H83" s="374"/>
      <c r="I83" s="374"/>
      <c r="J83" s="374"/>
      <c r="K83" s="374"/>
      <c r="L83" s="374"/>
      <c r="M83" s="374"/>
      <c r="N83" s="374"/>
      <c r="O83" s="374"/>
    </row>
    <row r="84" spans="1:15" ht="15" customHeight="1" x14ac:dyDescent="0.25">
      <c r="A84" s="376"/>
      <c r="B84" s="360"/>
      <c r="D84" s="380"/>
      <c r="E84" s="380"/>
      <c r="F84" s="374"/>
      <c r="G84" s="374"/>
      <c r="H84" s="374"/>
      <c r="I84" s="374"/>
      <c r="J84" s="374"/>
      <c r="K84" s="374"/>
      <c r="L84" s="374"/>
      <c r="M84" s="374"/>
      <c r="N84" s="374"/>
      <c r="O84" s="374"/>
    </row>
    <row r="85" spans="1:15" ht="15" customHeight="1" x14ac:dyDescent="0.25">
      <c r="A85" s="376"/>
      <c r="B85" s="360"/>
      <c r="D85" s="380"/>
      <c r="E85" s="380"/>
      <c r="F85" s="374"/>
      <c r="G85" s="374"/>
      <c r="H85" s="374"/>
      <c r="I85" s="374"/>
      <c r="J85" s="374"/>
      <c r="K85" s="374"/>
      <c r="L85" s="374"/>
      <c r="M85" s="374"/>
      <c r="N85" s="374"/>
      <c r="O85" s="374"/>
    </row>
    <row r="86" spans="1:15" ht="15" customHeight="1" x14ac:dyDescent="0.25">
      <c r="A86" s="376"/>
      <c r="B86" s="360"/>
      <c r="D86" s="380"/>
      <c r="E86" s="380"/>
      <c r="F86" s="374"/>
      <c r="G86" s="374"/>
      <c r="H86" s="374"/>
      <c r="I86" s="374"/>
      <c r="J86" s="374"/>
      <c r="K86" s="374"/>
      <c r="L86" s="374"/>
      <c r="M86" s="374"/>
      <c r="N86" s="374"/>
      <c r="O86" s="374"/>
    </row>
    <row r="87" spans="1:15" ht="15" customHeight="1" x14ac:dyDescent="0.25">
      <c r="A87" s="376"/>
      <c r="B87" s="360"/>
      <c r="D87" s="380"/>
      <c r="E87" s="380"/>
      <c r="F87" s="374"/>
      <c r="G87" s="374"/>
      <c r="H87" s="374"/>
      <c r="I87" s="374"/>
      <c r="J87" s="374"/>
      <c r="K87" s="374"/>
      <c r="L87" s="374"/>
      <c r="M87" s="374"/>
      <c r="N87" s="374"/>
      <c r="O87" s="374"/>
    </row>
    <row r="88" spans="1:15" ht="15" customHeight="1" x14ac:dyDescent="0.25">
      <c r="A88" s="376"/>
      <c r="B88" s="360"/>
      <c r="D88" s="380"/>
      <c r="E88" s="380"/>
      <c r="F88" s="374"/>
      <c r="G88" s="374"/>
      <c r="H88" s="374"/>
      <c r="I88" s="374"/>
      <c r="J88" s="374"/>
      <c r="K88" s="374"/>
      <c r="L88" s="374"/>
      <c r="M88" s="374"/>
      <c r="N88" s="374"/>
      <c r="O88" s="374"/>
    </row>
    <row r="89" spans="1:15" ht="15" customHeight="1" x14ac:dyDescent="0.25">
      <c r="A89" s="376"/>
      <c r="B89" s="360"/>
      <c r="D89" s="380"/>
      <c r="E89" s="380"/>
      <c r="F89" s="374"/>
      <c r="G89" s="374"/>
      <c r="H89" s="374"/>
      <c r="I89" s="374"/>
      <c r="J89" s="374"/>
      <c r="K89" s="374"/>
      <c r="L89" s="374"/>
      <c r="M89" s="374"/>
      <c r="N89" s="374"/>
      <c r="O89" s="374"/>
    </row>
    <row r="90" spans="1:15" ht="15" customHeight="1" x14ac:dyDescent="0.25">
      <c r="A90" s="376"/>
      <c r="D90" s="380"/>
      <c r="E90" s="380"/>
      <c r="F90" s="374"/>
      <c r="G90" s="374"/>
      <c r="H90" s="374"/>
      <c r="I90" s="374"/>
      <c r="J90" s="374"/>
      <c r="K90" s="374"/>
      <c r="L90" s="374"/>
      <c r="M90" s="374"/>
      <c r="N90" s="374"/>
      <c r="O90" s="374"/>
    </row>
    <row r="91" spans="1:15" ht="15" customHeight="1" x14ac:dyDescent="0.25">
      <c r="A91" s="376"/>
      <c r="D91" s="380"/>
      <c r="E91" s="380"/>
      <c r="F91" s="374"/>
      <c r="G91" s="374"/>
      <c r="H91" s="374"/>
      <c r="I91" s="374"/>
      <c r="J91" s="374"/>
      <c r="K91" s="374"/>
      <c r="L91" s="374"/>
      <c r="M91" s="374"/>
      <c r="N91" s="374"/>
      <c r="O91" s="374"/>
    </row>
    <row r="92" spans="1:15" ht="15" customHeight="1" x14ac:dyDescent="0.25">
      <c r="A92" s="376"/>
      <c r="B92" s="360"/>
      <c r="D92" s="380"/>
      <c r="E92" s="380"/>
      <c r="F92" s="374"/>
      <c r="G92" s="374"/>
      <c r="H92" s="374"/>
      <c r="I92" s="374"/>
      <c r="J92" s="374"/>
      <c r="K92" s="374"/>
      <c r="L92" s="374"/>
      <c r="M92" s="374"/>
      <c r="N92" s="374"/>
      <c r="O92" s="374"/>
    </row>
    <row r="93" spans="1:15" ht="15" customHeight="1" x14ac:dyDescent="0.25">
      <c r="A93" s="376"/>
      <c r="D93" s="380"/>
      <c r="E93" s="380"/>
      <c r="F93" s="374"/>
      <c r="G93" s="374"/>
      <c r="H93" s="374"/>
      <c r="I93" s="374"/>
      <c r="J93" s="374"/>
      <c r="K93" s="374"/>
      <c r="L93" s="374"/>
      <c r="M93" s="374"/>
      <c r="N93" s="374"/>
      <c r="O93" s="374"/>
    </row>
    <row r="94" spans="1:15" ht="15" customHeight="1" x14ac:dyDescent="0.25">
      <c r="A94" s="376"/>
      <c r="D94" s="380"/>
      <c r="E94" s="380"/>
      <c r="F94" s="374"/>
      <c r="G94" s="374"/>
      <c r="H94" s="374"/>
      <c r="I94" s="374"/>
      <c r="J94" s="374"/>
      <c r="K94" s="374"/>
      <c r="L94" s="374"/>
      <c r="M94" s="374"/>
      <c r="N94" s="374"/>
      <c r="O94" s="374"/>
    </row>
    <row r="95" spans="1:15" ht="15" customHeight="1" x14ac:dyDescent="0.25">
      <c r="A95" s="376"/>
      <c r="D95" s="380"/>
      <c r="E95" s="380"/>
      <c r="F95" s="374"/>
      <c r="G95" s="374"/>
      <c r="H95" s="374"/>
      <c r="I95" s="374"/>
      <c r="J95" s="374"/>
      <c r="K95" s="374"/>
      <c r="L95" s="374"/>
      <c r="M95" s="374"/>
      <c r="N95" s="374"/>
      <c r="O95" s="374"/>
    </row>
    <row r="96" spans="1:15" ht="15" customHeight="1" x14ac:dyDescent="0.25">
      <c r="A96" s="376"/>
      <c r="D96" s="380"/>
      <c r="E96" s="380"/>
      <c r="F96" s="374"/>
      <c r="G96" s="374"/>
      <c r="H96" s="374"/>
      <c r="I96" s="374"/>
      <c r="J96" s="374"/>
      <c r="K96" s="374"/>
      <c r="L96" s="374"/>
      <c r="M96" s="374"/>
      <c r="N96" s="374"/>
      <c r="O96" s="374"/>
    </row>
    <row r="97" spans="1:15" ht="15" customHeight="1" x14ac:dyDescent="0.25">
      <c r="A97" s="376"/>
      <c r="D97" s="380"/>
      <c r="E97" s="380"/>
      <c r="F97" s="374"/>
      <c r="G97" s="374"/>
      <c r="H97" s="374"/>
      <c r="I97" s="374"/>
      <c r="J97" s="374"/>
      <c r="K97" s="374"/>
      <c r="L97" s="374"/>
      <c r="M97" s="374"/>
      <c r="N97" s="374"/>
      <c r="O97" s="374"/>
    </row>
    <row r="98" spans="1:15" ht="15" customHeight="1" x14ac:dyDescent="0.25">
      <c r="A98" s="376"/>
      <c r="D98" s="380"/>
      <c r="E98" s="380"/>
      <c r="F98" s="374"/>
      <c r="G98" s="374"/>
      <c r="H98" s="374"/>
      <c r="I98" s="374"/>
      <c r="J98" s="374"/>
      <c r="K98" s="374"/>
      <c r="L98" s="374"/>
      <c r="M98" s="374"/>
      <c r="N98" s="374"/>
      <c r="O98" s="374"/>
    </row>
    <row r="99" spans="1:15" ht="15" customHeight="1" x14ac:dyDescent="0.25">
      <c r="A99" s="376"/>
      <c r="D99" s="380"/>
      <c r="E99" s="380"/>
      <c r="F99" s="374"/>
      <c r="G99" s="374"/>
      <c r="H99" s="374"/>
      <c r="I99" s="374"/>
      <c r="J99" s="374"/>
      <c r="K99" s="374"/>
      <c r="L99" s="374"/>
      <c r="M99" s="374"/>
      <c r="N99" s="374"/>
      <c r="O99" s="374"/>
    </row>
    <row r="100" spans="1:15" ht="15" customHeight="1" x14ac:dyDescent="0.25">
      <c r="B100" s="360"/>
      <c r="D100" s="380"/>
      <c r="E100" s="380"/>
      <c r="F100" s="374"/>
      <c r="G100" s="374"/>
      <c r="H100" s="374"/>
      <c r="I100" s="374"/>
      <c r="J100" s="374"/>
      <c r="K100" s="374"/>
      <c r="L100" s="374"/>
      <c r="M100" s="374"/>
      <c r="N100" s="374"/>
      <c r="O100" s="374"/>
    </row>
    <row r="101" spans="1:15" ht="15" customHeight="1" x14ac:dyDescent="0.25">
      <c r="B101" s="360"/>
      <c r="D101" s="380"/>
      <c r="E101" s="380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</row>
    <row r="102" spans="1:15" ht="15" customHeight="1" x14ac:dyDescent="0.25">
      <c r="B102" s="360"/>
      <c r="D102" s="380"/>
      <c r="E102" s="380"/>
      <c r="F102" s="374"/>
      <c r="G102" s="374"/>
      <c r="H102" s="374"/>
      <c r="I102" s="374"/>
      <c r="J102" s="374"/>
      <c r="K102" s="374"/>
      <c r="L102" s="374"/>
      <c r="M102" s="374"/>
      <c r="N102" s="374"/>
      <c r="O102" s="374"/>
    </row>
    <row r="103" spans="1:15" ht="15" customHeight="1" x14ac:dyDescent="0.25">
      <c r="A103" s="376"/>
      <c r="B103" s="360"/>
      <c r="D103" s="380"/>
      <c r="E103" s="380"/>
      <c r="F103" s="374"/>
      <c r="G103" s="374"/>
      <c r="H103" s="374"/>
      <c r="I103" s="374"/>
      <c r="J103" s="374"/>
      <c r="K103" s="374"/>
      <c r="L103" s="374"/>
      <c r="M103" s="374"/>
      <c r="N103" s="374"/>
      <c r="O103" s="374"/>
    </row>
    <row r="104" spans="1:15" ht="15" customHeight="1" x14ac:dyDescent="0.25">
      <c r="A104" s="376"/>
      <c r="B104" s="360"/>
      <c r="D104" s="380"/>
      <c r="E104" s="380"/>
      <c r="F104" s="374"/>
      <c r="G104" s="374"/>
      <c r="H104" s="374"/>
      <c r="I104" s="374"/>
      <c r="J104" s="374"/>
      <c r="K104" s="374"/>
      <c r="L104" s="374"/>
      <c r="M104" s="374"/>
      <c r="N104" s="374"/>
      <c r="O104" s="374"/>
    </row>
    <row r="105" spans="1:15" ht="15" customHeight="1" x14ac:dyDescent="0.25">
      <c r="A105" s="376"/>
      <c r="B105" s="360"/>
      <c r="D105" s="380"/>
      <c r="E105" s="380"/>
      <c r="F105" s="374"/>
      <c r="G105" s="374"/>
      <c r="H105" s="374"/>
      <c r="I105" s="374"/>
      <c r="J105" s="374"/>
      <c r="K105" s="374"/>
      <c r="L105" s="374"/>
      <c r="M105" s="374"/>
      <c r="N105" s="374"/>
      <c r="O105" s="374"/>
    </row>
    <row r="106" spans="1:15" ht="15" customHeight="1" x14ac:dyDescent="0.25">
      <c r="A106" s="376"/>
      <c r="B106" s="360"/>
      <c r="D106" s="380"/>
      <c r="E106" s="380"/>
      <c r="F106" s="374"/>
      <c r="G106" s="374"/>
      <c r="H106" s="374"/>
      <c r="I106" s="374"/>
      <c r="J106" s="374"/>
      <c r="K106" s="374"/>
      <c r="L106" s="374"/>
      <c r="M106" s="374"/>
      <c r="N106" s="374"/>
      <c r="O106" s="374"/>
    </row>
    <row r="107" spans="1:15" ht="15" customHeight="1" x14ac:dyDescent="0.25">
      <c r="A107" s="376"/>
      <c r="B107" s="360"/>
      <c r="D107" s="380"/>
      <c r="E107" s="380"/>
      <c r="F107" s="374"/>
      <c r="G107" s="374"/>
      <c r="H107" s="374"/>
      <c r="I107" s="374"/>
      <c r="J107" s="374"/>
      <c r="K107" s="374"/>
      <c r="L107" s="374"/>
      <c r="M107" s="374"/>
      <c r="N107" s="374"/>
      <c r="O107" s="374"/>
    </row>
    <row r="108" spans="1:15" ht="15" customHeight="1" x14ac:dyDescent="0.25">
      <c r="A108" s="376"/>
      <c r="B108" s="360"/>
      <c r="D108" s="380"/>
      <c r="E108" s="380"/>
      <c r="F108" s="374"/>
      <c r="G108" s="374"/>
      <c r="H108" s="374"/>
      <c r="I108" s="374"/>
      <c r="J108" s="374"/>
      <c r="K108" s="374"/>
      <c r="L108" s="374"/>
      <c r="M108" s="374"/>
      <c r="N108" s="374"/>
      <c r="O108" s="374"/>
    </row>
    <row r="109" spans="1:15" ht="15" customHeight="1" x14ac:dyDescent="0.25">
      <c r="A109" s="376"/>
      <c r="B109" s="360"/>
      <c r="D109" s="380"/>
      <c r="E109" s="380"/>
      <c r="F109" s="374"/>
      <c r="G109" s="374"/>
      <c r="H109" s="374"/>
      <c r="I109" s="374"/>
      <c r="J109" s="374"/>
      <c r="K109" s="374"/>
      <c r="L109" s="374"/>
      <c r="M109" s="374"/>
      <c r="N109" s="374"/>
      <c r="O109" s="374"/>
    </row>
    <row r="110" spans="1:15" ht="15" customHeight="1" x14ac:dyDescent="0.25">
      <c r="A110" s="376"/>
      <c r="B110" s="360"/>
      <c r="D110" s="380"/>
      <c r="E110" s="380"/>
      <c r="F110" s="374"/>
      <c r="G110" s="374"/>
      <c r="H110" s="374"/>
      <c r="I110" s="374"/>
      <c r="J110" s="374"/>
      <c r="K110" s="374"/>
      <c r="L110" s="374"/>
      <c r="M110" s="374"/>
      <c r="N110" s="374"/>
      <c r="O110" s="374"/>
    </row>
    <row r="111" spans="1:15" ht="15" customHeight="1" x14ac:dyDescent="0.25">
      <c r="B111" s="360"/>
      <c r="D111" s="380"/>
      <c r="E111" s="380"/>
      <c r="F111" s="374"/>
      <c r="G111" s="374"/>
      <c r="H111" s="374"/>
      <c r="I111" s="374"/>
      <c r="J111" s="374"/>
      <c r="K111" s="374"/>
      <c r="L111" s="374"/>
      <c r="M111" s="374"/>
      <c r="N111" s="374"/>
      <c r="O111" s="374"/>
    </row>
    <row r="112" spans="1:15" ht="15" customHeight="1" x14ac:dyDescent="0.25">
      <c r="C112" s="381"/>
      <c r="D112" s="382"/>
    </row>
    <row r="113" spans="1:16" s="375" customFormat="1" ht="15" customHeight="1" x14ac:dyDescent="0.25">
      <c r="A113" s="376"/>
      <c r="B113" s="373"/>
      <c r="C113" s="381"/>
      <c r="D113" s="382"/>
      <c r="F113" s="360"/>
      <c r="G113" s="360"/>
      <c r="H113" s="360"/>
      <c r="I113" s="360"/>
      <c r="J113" s="360"/>
      <c r="K113" s="360"/>
      <c r="L113" s="360"/>
      <c r="M113" s="360"/>
      <c r="N113" s="360"/>
      <c r="O113" s="360"/>
      <c r="P113" s="360"/>
    </row>
    <row r="114" spans="1:16" s="375" customFormat="1" ht="15" customHeight="1" x14ac:dyDescent="0.25">
      <c r="A114" s="376"/>
      <c r="B114" s="373"/>
      <c r="C114" s="381"/>
      <c r="D114" s="382"/>
      <c r="F114" s="360"/>
      <c r="G114" s="360"/>
      <c r="H114" s="360"/>
      <c r="I114" s="360"/>
      <c r="J114" s="360"/>
      <c r="K114" s="360"/>
      <c r="L114" s="360"/>
      <c r="M114" s="360"/>
      <c r="N114" s="360"/>
      <c r="O114" s="360"/>
      <c r="P114" s="360"/>
    </row>
    <row r="115" spans="1:16" s="375" customFormat="1" ht="15" customHeight="1" x14ac:dyDescent="0.25">
      <c r="A115" s="376"/>
      <c r="B115" s="373"/>
      <c r="C115" s="381"/>
      <c r="D115" s="382"/>
      <c r="F115" s="360"/>
      <c r="G115" s="360"/>
      <c r="H115" s="360"/>
      <c r="I115" s="360"/>
      <c r="J115" s="360"/>
      <c r="K115" s="360"/>
      <c r="L115" s="360"/>
      <c r="M115" s="360"/>
      <c r="N115" s="360"/>
      <c r="O115" s="360"/>
      <c r="P115" s="360"/>
    </row>
    <row r="116" spans="1:16" s="375" customFormat="1" ht="15" customHeight="1" x14ac:dyDescent="0.25">
      <c r="A116" s="376"/>
      <c r="B116" s="360"/>
      <c r="C116" s="381"/>
      <c r="D116" s="382"/>
      <c r="F116" s="360"/>
      <c r="G116" s="360"/>
      <c r="H116" s="360"/>
      <c r="I116" s="360"/>
      <c r="J116" s="360"/>
      <c r="K116" s="360"/>
      <c r="L116" s="360"/>
      <c r="M116" s="360"/>
      <c r="N116" s="360"/>
      <c r="O116" s="360"/>
      <c r="P116" s="360"/>
    </row>
    <row r="117" spans="1:16" s="375" customFormat="1" ht="15" customHeight="1" x14ac:dyDescent="0.25">
      <c r="A117" s="376"/>
      <c r="B117" s="360"/>
      <c r="C117" s="381"/>
      <c r="D117" s="382"/>
      <c r="F117" s="360"/>
      <c r="G117" s="360"/>
      <c r="H117" s="360"/>
      <c r="I117" s="360"/>
      <c r="J117" s="360"/>
      <c r="K117" s="360"/>
      <c r="L117" s="360"/>
      <c r="M117" s="360"/>
      <c r="N117" s="360"/>
      <c r="O117" s="360"/>
      <c r="P117" s="360"/>
    </row>
    <row r="118" spans="1:16" s="375" customFormat="1" ht="15" customHeight="1" x14ac:dyDescent="0.25">
      <c r="A118" s="376"/>
      <c r="B118" s="360"/>
      <c r="C118" s="381"/>
      <c r="D118" s="382"/>
      <c r="F118" s="360"/>
      <c r="G118" s="360"/>
      <c r="H118" s="360"/>
      <c r="I118" s="360"/>
      <c r="J118" s="360"/>
      <c r="K118" s="360"/>
      <c r="L118" s="360"/>
      <c r="M118" s="360"/>
      <c r="N118" s="360"/>
      <c r="O118" s="360"/>
      <c r="P118" s="360"/>
    </row>
    <row r="119" spans="1:16" s="375" customFormat="1" ht="15" customHeight="1" x14ac:dyDescent="0.25">
      <c r="A119" s="376"/>
      <c r="B119" s="373"/>
      <c r="C119" s="374"/>
      <c r="D119" s="382"/>
      <c r="F119" s="360"/>
      <c r="G119" s="360"/>
      <c r="H119" s="360"/>
      <c r="I119" s="360"/>
      <c r="J119" s="360"/>
      <c r="K119" s="360"/>
      <c r="L119" s="360"/>
      <c r="M119" s="360"/>
      <c r="N119" s="360"/>
      <c r="O119" s="360"/>
      <c r="P119" s="360"/>
    </row>
    <row r="120" spans="1:16" s="375" customFormat="1" ht="15" customHeight="1" x14ac:dyDescent="0.25">
      <c r="A120" s="376"/>
      <c r="B120" s="373"/>
      <c r="C120" s="374"/>
      <c r="D120" s="382"/>
      <c r="F120" s="360"/>
      <c r="G120" s="360"/>
      <c r="H120" s="360"/>
      <c r="I120" s="360"/>
      <c r="J120" s="360"/>
      <c r="K120" s="360"/>
      <c r="L120" s="360"/>
      <c r="M120" s="360"/>
      <c r="N120" s="360"/>
      <c r="O120" s="360"/>
      <c r="P120" s="360"/>
    </row>
    <row r="121" spans="1:16" s="375" customFormat="1" ht="15" customHeight="1" x14ac:dyDescent="0.25">
      <c r="A121" s="376"/>
      <c r="B121" s="373"/>
      <c r="C121" s="381"/>
      <c r="D121" s="382"/>
      <c r="F121" s="360"/>
      <c r="G121" s="360"/>
      <c r="H121" s="360"/>
      <c r="I121" s="360"/>
      <c r="J121" s="360"/>
      <c r="K121" s="360"/>
      <c r="L121" s="360"/>
      <c r="M121" s="360"/>
      <c r="N121" s="360"/>
      <c r="O121" s="360"/>
      <c r="P121" s="360"/>
    </row>
    <row r="122" spans="1:16" s="375" customFormat="1" ht="15" customHeight="1" x14ac:dyDescent="0.25">
      <c r="A122" s="376"/>
      <c r="B122" s="360"/>
      <c r="C122" s="381"/>
      <c r="D122" s="382"/>
      <c r="F122" s="360"/>
      <c r="G122" s="360"/>
      <c r="H122" s="360"/>
      <c r="I122" s="360"/>
      <c r="J122" s="360"/>
      <c r="K122" s="360"/>
      <c r="L122" s="360"/>
      <c r="M122" s="360"/>
      <c r="N122" s="360"/>
      <c r="O122" s="360"/>
      <c r="P122" s="360"/>
    </row>
    <row r="123" spans="1:16" s="375" customFormat="1" ht="15" customHeight="1" x14ac:dyDescent="0.25">
      <c r="A123" s="376"/>
      <c r="B123" s="373"/>
      <c r="C123" s="381"/>
      <c r="D123" s="382"/>
      <c r="F123" s="360"/>
      <c r="G123" s="360"/>
      <c r="H123" s="360"/>
      <c r="I123" s="360"/>
      <c r="J123" s="360"/>
      <c r="K123" s="360"/>
      <c r="L123" s="360"/>
      <c r="M123" s="360"/>
      <c r="N123" s="360"/>
      <c r="O123" s="360"/>
      <c r="P123" s="360"/>
    </row>
    <row r="124" spans="1:16" s="375" customFormat="1" ht="15" customHeight="1" x14ac:dyDescent="0.25">
      <c r="A124" s="376"/>
      <c r="B124" s="360"/>
      <c r="C124" s="381"/>
      <c r="D124" s="382"/>
      <c r="F124" s="360"/>
      <c r="G124" s="360"/>
      <c r="H124" s="360"/>
      <c r="I124" s="360"/>
      <c r="J124" s="360"/>
      <c r="K124" s="360"/>
      <c r="L124" s="360"/>
      <c r="M124" s="360"/>
      <c r="N124" s="360"/>
      <c r="O124" s="360"/>
      <c r="P124" s="360"/>
    </row>
    <row r="125" spans="1:16" s="375" customFormat="1" ht="15" customHeight="1" x14ac:dyDescent="0.25">
      <c r="A125" s="376"/>
      <c r="B125" s="373"/>
      <c r="C125" s="381"/>
      <c r="D125" s="382"/>
      <c r="F125" s="360"/>
      <c r="G125" s="360"/>
      <c r="H125" s="360"/>
      <c r="I125" s="360"/>
      <c r="J125" s="360"/>
      <c r="K125" s="360"/>
      <c r="L125" s="360"/>
      <c r="M125" s="360"/>
      <c r="N125" s="360"/>
      <c r="O125" s="360"/>
      <c r="P125" s="360"/>
    </row>
    <row r="126" spans="1:16" s="375" customFormat="1" ht="15" customHeight="1" x14ac:dyDescent="0.25">
      <c r="A126" s="376"/>
      <c r="B126" s="373"/>
      <c r="C126" s="381"/>
      <c r="D126" s="382"/>
      <c r="F126" s="360"/>
      <c r="G126" s="360"/>
      <c r="H126" s="360"/>
      <c r="I126" s="360"/>
      <c r="J126" s="360"/>
      <c r="K126" s="360"/>
      <c r="L126" s="360"/>
      <c r="M126" s="360"/>
      <c r="N126" s="360"/>
      <c r="O126" s="360"/>
      <c r="P126" s="360"/>
    </row>
    <row r="127" spans="1:16" s="375" customFormat="1" ht="15" customHeight="1" x14ac:dyDescent="0.25">
      <c r="A127" s="360"/>
      <c r="B127" s="373"/>
      <c r="C127" s="381"/>
      <c r="D127" s="382"/>
      <c r="F127" s="360"/>
      <c r="G127" s="360"/>
      <c r="H127" s="360"/>
      <c r="I127" s="360"/>
      <c r="J127" s="360"/>
      <c r="K127" s="360"/>
      <c r="L127" s="360"/>
      <c r="M127" s="360"/>
      <c r="N127" s="360"/>
      <c r="O127" s="360"/>
      <c r="P127" s="360"/>
    </row>
    <row r="128" spans="1:16" s="375" customFormat="1" ht="15" customHeight="1" x14ac:dyDescent="0.25">
      <c r="A128" s="360"/>
      <c r="B128" s="373"/>
      <c r="C128" s="381"/>
      <c r="D128" s="382"/>
      <c r="F128" s="360"/>
      <c r="G128" s="360"/>
      <c r="H128" s="360"/>
      <c r="I128" s="360"/>
      <c r="J128" s="360"/>
      <c r="K128" s="360"/>
      <c r="L128" s="360"/>
      <c r="M128" s="360"/>
      <c r="N128" s="360"/>
      <c r="O128" s="360"/>
      <c r="P128" s="360"/>
    </row>
    <row r="129" spans="1:15" ht="15" customHeight="1" x14ac:dyDescent="0.25">
      <c r="C129" s="381"/>
      <c r="D129" s="382"/>
    </row>
    <row r="130" spans="1:15" ht="15" customHeight="1" x14ac:dyDescent="0.25">
      <c r="C130" s="381"/>
      <c r="D130" s="382"/>
    </row>
    <row r="131" spans="1:15" ht="15" customHeight="1" x14ac:dyDescent="0.25">
      <c r="C131" s="381"/>
      <c r="D131" s="382"/>
    </row>
    <row r="132" spans="1:15" ht="15" customHeight="1" x14ac:dyDescent="0.25">
      <c r="C132" s="381"/>
      <c r="D132" s="382"/>
    </row>
    <row r="133" spans="1:15" ht="15" customHeight="1" x14ac:dyDescent="0.25">
      <c r="C133" s="381"/>
      <c r="D133" s="382"/>
    </row>
    <row r="134" spans="1:15" ht="15" customHeight="1" x14ac:dyDescent="0.25">
      <c r="C134" s="381"/>
      <c r="D134" s="382"/>
    </row>
    <row r="135" spans="1:15" ht="15" customHeight="1" x14ac:dyDescent="0.25">
      <c r="C135" s="381"/>
      <c r="D135" s="382"/>
    </row>
    <row r="136" spans="1:15" ht="15" customHeight="1" x14ac:dyDescent="0.25">
      <c r="C136" s="381"/>
      <c r="D136" s="382"/>
    </row>
    <row r="137" spans="1:15" ht="15" customHeight="1" x14ac:dyDescent="0.25">
      <c r="B137" s="360"/>
      <c r="C137" s="381"/>
      <c r="D137" s="382"/>
    </row>
    <row r="138" spans="1:15" ht="15" customHeight="1" x14ac:dyDescent="0.25">
      <c r="A138" s="383"/>
      <c r="B138" s="360"/>
      <c r="C138" s="384"/>
      <c r="D138" s="380"/>
      <c r="F138" s="385"/>
      <c r="G138" s="385"/>
      <c r="H138" s="385"/>
      <c r="I138" s="385"/>
      <c r="J138" s="385"/>
      <c r="K138" s="385"/>
      <c r="L138" s="385"/>
      <c r="M138" s="385"/>
      <c r="N138" s="385"/>
      <c r="O138" s="385"/>
    </row>
    <row r="139" spans="1:15" ht="15" customHeight="1" x14ac:dyDescent="0.25">
      <c r="A139" s="383"/>
      <c r="B139" s="386"/>
      <c r="C139" s="384"/>
      <c r="D139" s="380"/>
      <c r="E139" s="380"/>
      <c r="F139" s="387"/>
      <c r="G139" s="387"/>
      <c r="H139" s="387"/>
      <c r="I139" s="387"/>
      <c r="J139" s="387"/>
      <c r="K139" s="387"/>
      <c r="L139" s="387"/>
      <c r="M139" s="387"/>
      <c r="N139" s="387"/>
      <c r="O139" s="387"/>
    </row>
    <row r="140" spans="1:15" ht="15" customHeight="1" x14ac:dyDescent="0.25">
      <c r="A140" s="383"/>
      <c r="B140" s="386"/>
      <c r="C140" s="384"/>
      <c r="F140" s="385"/>
      <c r="G140" s="385"/>
      <c r="H140" s="385"/>
      <c r="I140" s="385"/>
      <c r="J140" s="385"/>
      <c r="K140" s="385"/>
      <c r="L140" s="385"/>
      <c r="M140" s="385"/>
      <c r="N140" s="385"/>
      <c r="O140" s="385"/>
    </row>
    <row r="141" spans="1:15" ht="15" customHeight="1" x14ac:dyDescent="0.25">
      <c r="A141" s="383"/>
      <c r="B141" s="386"/>
      <c r="C141" s="384"/>
      <c r="F141" s="385"/>
      <c r="G141" s="385"/>
      <c r="H141" s="385"/>
      <c r="I141" s="385"/>
      <c r="J141" s="385"/>
      <c r="K141" s="385"/>
      <c r="L141" s="385"/>
      <c r="M141" s="385"/>
      <c r="N141" s="385"/>
      <c r="O141" s="385"/>
    </row>
    <row r="142" spans="1:15" ht="15" customHeight="1" x14ac:dyDescent="0.25">
      <c r="A142" s="383"/>
      <c r="C142" s="384"/>
      <c r="F142" s="385"/>
      <c r="G142" s="385"/>
      <c r="H142" s="385"/>
      <c r="I142" s="385"/>
      <c r="J142" s="385"/>
      <c r="K142" s="385"/>
      <c r="L142" s="385"/>
      <c r="M142" s="385"/>
      <c r="N142" s="385"/>
      <c r="O142" s="385"/>
    </row>
    <row r="143" spans="1:15" ht="15" customHeight="1" x14ac:dyDescent="0.25">
      <c r="A143" s="383"/>
      <c r="C143" s="384"/>
      <c r="F143" s="385"/>
      <c r="G143" s="385"/>
      <c r="H143" s="385"/>
      <c r="I143" s="385"/>
      <c r="J143" s="385"/>
      <c r="K143" s="385"/>
      <c r="L143" s="385"/>
      <c r="M143" s="385"/>
      <c r="N143" s="385"/>
      <c r="O143" s="385"/>
    </row>
    <row r="144" spans="1:15" ht="15" customHeight="1" x14ac:dyDescent="0.25">
      <c r="A144" s="383"/>
      <c r="B144" s="388"/>
      <c r="C144" s="384"/>
      <c r="F144" s="385"/>
      <c r="G144" s="385"/>
      <c r="H144" s="385"/>
      <c r="I144" s="385"/>
      <c r="J144" s="385"/>
      <c r="K144" s="385"/>
      <c r="L144" s="385"/>
      <c r="M144" s="385"/>
      <c r="N144" s="385"/>
      <c r="O144" s="385"/>
    </row>
    <row r="145" spans="1:15" ht="15" customHeight="1" x14ac:dyDescent="0.25">
      <c r="A145" s="383"/>
      <c r="C145" s="384"/>
      <c r="F145" s="385"/>
      <c r="G145" s="385"/>
      <c r="H145" s="385"/>
      <c r="I145" s="385"/>
      <c r="J145" s="385"/>
      <c r="K145" s="385"/>
      <c r="L145" s="385"/>
      <c r="M145" s="385"/>
      <c r="N145" s="385"/>
      <c r="O145" s="385"/>
    </row>
    <row r="146" spans="1:15" ht="15" customHeight="1" x14ac:dyDescent="0.25">
      <c r="A146" s="383"/>
      <c r="B146" s="386"/>
      <c r="C146" s="384"/>
      <c r="F146" s="385"/>
      <c r="G146" s="385"/>
      <c r="H146" s="385"/>
      <c r="I146" s="385"/>
      <c r="J146" s="385"/>
      <c r="K146" s="385"/>
      <c r="L146" s="385"/>
      <c r="M146" s="385"/>
      <c r="N146" s="385"/>
      <c r="O146" s="385"/>
    </row>
    <row r="147" spans="1:15" ht="15" customHeight="1" x14ac:dyDescent="0.25">
      <c r="A147" s="383"/>
      <c r="B147" s="386"/>
      <c r="C147" s="384"/>
      <c r="F147" s="385"/>
      <c r="G147" s="385"/>
      <c r="H147" s="385"/>
      <c r="I147" s="385"/>
      <c r="J147" s="385"/>
      <c r="K147" s="385"/>
      <c r="L147" s="385"/>
      <c r="M147" s="385"/>
      <c r="N147" s="385"/>
      <c r="O147" s="385"/>
    </row>
    <row r="148" spans="1:15" ht="15" customHeight="1" x14ac:dyDescent="0.25">
      <c r="A148" s="383"/>
      <c r="B148" s="386"/>
      <c r="C148" s="384"/>
      <c r="F148" s="385"/>
      <c r="G148" s="385"/>
      <c r="H148" s="385"/>
      <c r="I148" s="385"/>
      <c r="J148" s="385"/>
      <c r="K148" s="385"/>
      <c r="L148" s="385"/>
      <c r="M148" s="385"/>
      <c r="N148" s="385"/>
      <c r="O148" s="385"/>
    </row>
    <row r="149" spans="1:15" ht="15" customHeight="1" x14ac:dyDescent="0.25">
      <c r="A149" s="383"/>
      <c r="B149" s="386"/>
      <c r="C149" s="384"/>
      <c r="F149" s="385"/>
      <c r="G149" s="385"/>
      <c r="H149" s="385"/>
      <c r="I149" s="385"/>
      <c r="J149" s="385"/>
      <c r="K149" s="385"/>
      <c r="L149" s="385"/>
      <c r="M149" s="385"/>
      <c r="N149" s="385"/>
      <c r="O149" s="385"/>
    </row>
    <row r="150" spans="1:15" ht="15" customHeight="1" x14ac:dyDescent="0.25">
      <c r="A150" s="383"/>
      <c r="B150" s="386"/>
      <c r="C150" s="384"/>
      <c r="F150" s="385"/>
      <c r="G150" s="385"/>
      <c r="H150" s="385"/>
      <c r="I150" s="385"/>
      <c r="J150" s="385"/>
      <c r="K150" s="385"/>
      <c r="L150" s="385"/>
      <c r="M150" s="385"/>
      <c r="N150" s="385"/>
      <c r="O150" s="385"/>
    </row>
    <row r="151" spans="1:15" ht="15" customHeight="1" x14ac:dyDescent="0.25">
      <c r="A151" s="383"/>
      <c r="B151" s="386"/>
      <c r="C151" s="384"/>
      <c r="F151" s="385"/>
      <c r="G151" s="385"/>
      <c r="H151" s="385"/>
      <c r="I151" s="385"/>
      <c r="J151" s="385"/>
      <c r="K151" s="385"/>
      <c r="L151" s="385"/>
      <c r="M151" s="385"/>
      <c r="N151" s="385"/>
      <c r="O151" s="385"/>
    </row>
    <row r="152" spans="1:15" ht="15" customHeight="1" x14ac:dyDescent="0.25">
      <c r="C152" s="384"/>
      <c r="F152" s="385"/>
      <c r="G152" s="385"/>
      <c r="H152" s="385"/>
      <c r="I152" s="385"/>
      <c r="J152" s="385"/>
      <c r="K152" s="385"/>
      <c r="L152" s="385"/>
      <c r="M152" s="385"/>
      <c r="N152" s="385"/>
      <c r="O152" s="385"/>
    </row>
    <row r="153" spans="1:15" ht="15" customHeight="1" x14ac:dyDescent="0.25">
      <c r="B153" s="386"/>
      <c r="C153" s="384"/>
      <c r="F153" s="385"/>
      <c r="G153" s="385"/>
      <c r="H153" s="385"/>
      <c r="I153" s="385"/>
      <c r="J153" s="385"/>
      <c r="K153" s="385"/>
      <c r="L153" s="385"/>
      <c r="M153" s="385"/>
      <c r="N153" s="385"/>
      <c r="O153" s="385"/>
    </row>
    <row r="154" spans="1:15" ht="15" customHeight="1" x14ac:dyDescent="0.25">
      <c r="B154" s="386"/>
      <c r="C154" s="384"/>
      <c r="F154" s="385"/>
      <c r="G154" s="385"/>
      <c r="H154" s="385"/>
      <c r="I154" s="385"/>
      <c r="J154" s="385"/>
      <c r="K154" s="385"/>
      <c r="L154" s="385"/>
      <c r="M154" s="385"/>
      <c r="N154" s="385"/>
      <c r="O154" s="385"/>
    </row>
    <row r="155" spans="1:15" ht="15" customHeight="1" x14ac:dyDescent="0.25">
      <c r="B155" s="386"/>
      <c r="C155" s="384"/>
      <c r="F155" s="385"/>
      <c r="G155" s="385"/>
      <c r="H155" s="385"/>
      <c r="I155" s="385"/>
      <c r="J155" s="385"/>
      <c r="K155" s="385"/>
      <c r="L155" s="385"/>
      <c r="M155" s="385"/>
      <c r="N155" s="385"/>
      <c r="O155" s="385"/>
    </row>
    <row r="156" spans="1:15" ht="15" customHeight="1" x14ac:dyDescent="0.25">
      <c r="B156" s="388"/>
      <c r="C156" s="384"/>
      <c r="F156" s="385"/>
      <c r="G156" s="385"/>
      <c r="H156" s="385"/>
      <c r="I156" s="385"/>
      <c r="J156" s="385"/>
      <c r="K156" s="385"/>
      <c r="L156" s="385"/>
      <c r="M156" s="385"/>
      <c r="N156" s="385"/>
      <c r="O156" s="385"/>
    </row>
    <row r="157" spans="1:15" ht="15" customHeight="1" x14ac:dyDescent="0.25">
      <c r="B157" s="386"/>
      <c r="C157" s="384"/>
      <c r="F157" s="385"/>
      <c r="G157" s="385"/>
      <c r="H157" s="385"/>
      <c r="I157" s="385"/>
      <c r="J157" s="385"/>
      <c r="K157" s="385"/>
      <c r="L157" s="385"/>
      <c r="M157" s="385"/>
      <c r="N157" s="385"/>
      <c r="O157" s="385"/>
    </row>
    <row r="158" spans="1:15" ht="15" customHeight="1" x14ac:dyDescent="0.25">
      <c r="B158" s="386"/>
      <c r="C158" s="384"/>
      <c r="F158" s="385"/>
      <c r="G158" s="385"/>
      <c r="H158" s="385"/>
      <c r="I158" s="385"/>
      <c r="J158" s="385"/>
      <c r="K158" s="385"/>
      <c r="L158" s="385"/>
      <c r="M158" s="385"/>
      <c r="N158" s="385"/>
      <c r="O158" s="385"/>
    </row>
    <row r="159" spans="1:15" ht="15" customHeight="1" x14ac:dyDescent="0.25">
      <c r="B159" s="386"/>
      <c r="C159" s="384"/>
      <c r="F159" s="385"/>
      <c r="G159" s="385"/>
      <c r="H159" s="385"/>
      <c r="I159" s="385"/>
      <c r="J159" s="385"/>
      <c r="K159" s="385"/>
      <c r="L159" s="385"/>
      <c r="M159" s="385"/>
      <c r="N159" s="385"/>
      <c r="O159" s="385"/>
    </row>
    <row r="160" spans="1:15" ht="15" customHeight="1" x14ac:dyDescent="0.25">
      <c r="B160" s="386"/>
      <c r="C160" s="384"/>
      <c r="F160" s="385"/>
      <c r="G160" s="385"/>
      <c r="H160" s="385"/>
      <c r="I160" s="385"/>
      <c r="J160" s="385"/>
      <c r="K160" s="385"/>
      <c r="L160" s="385"/>
      <c r="M160" s="385"/>
      <c r="N160" s="385"/>
      <c r="O160" s="385"/>
    </row>
    <row r="161" spans="2:15" ht="15" customHeight="1" x14ac:dyDescent="0.25">
      <c r="B161" s="386"/>
      <c r="C161" s="384"/>
      <c r="F161" s="385"/>
      <c r="G161" s="385"/>
      <c r="H161" s="385"/>
      <c r="I161" s="385"/>
      <c r="J161" s="385"/>
      <c r="K161" s="385"/>
      <c r="L161" s="385"/>
      <c r="M161" s="385"/>
      <c r="N161" s="385"/>
      <c r="O161" s="385"/>
    </row>
    <row r="162" spans="2:15" ht="15" customHeight="1" x14ac:dyDescent="0.25">
      <c r="B162" s="386"/>
      <c r="C162" s="384"/>
      <c r="F162" s="385"/>
      <c r="G162" s="385"/>
      <c r="H162" s="385"/>
      <c r="I162" s="385"/>
      <c r="J162" s="385"/>
      <c r="K162" s="385"/>
      <c r="L162" s="385"/>
      <c r="M162" s="385"/>
      <c r="N162" s="385"/>
      <c r="O162" s="385"/>
    </row>
    <row r="163" spans="2:15" ht="15" customHeight="1" x14ac:dyDescent="0.25">
      <c r="B163" s="386"/>
      <c r="C163" s="384"/>
      <c r="F163" s="385"/>
      <c r="G163" s="385"/>
      <c r="H163" s="385"/>
      <c r="I163" s="385"/>
      <c r="J163" s="385"/>
      <c r="K163" s="385"/>
      <c r="L163" s="385"/>
      <c r="M163" s="385"/>
      <c r="N163" s="385"/>
      <c r="O163" s="385"/>
    </row>
    <row r="164" spans="2:15" ht="15" customHeight="1" x14ac:dyDescent="0.25">
      <c r="B164" s="386"/>
      <c r="C164" s="384"/>
      <c r="F164" s="385"/>
      <c r="G164" s="385"/>
      <c r="H164" s="385"/>
      <c r="I164" s="385"/>
      <c r="J164" s="385"/>
      <c r="K164" s="385"/>
      <c r="L164" s="385"/>
      <c r="M164" s="385"/>
      <c r="N164" s="385"/>
      <c r="O164" s="385"/>
    </row>
    <row r="165" spans="2:15" ht="15" customHeight="1" x14ac:dyDescent="0.25">
      <c r="B165" s="389"/>
      <c r="C165" s="384"/>
      <c r="F165" s="385"/>
      <c r="G165" s="385"/>
      <c r="H165" s="385"/>
      <c r="I165" s="385"/>
      <c r="J165" s="385"/>
      <c r="K165" s="385"/>
      <c r="L165" s="385"/>
      <c r="M165" s="385"/>
      <c r="N165" s="385"/>
      <c r="O165" s="385"/>
    </row>
    <row r="166" spans="2:15" ht="15" customHeight="1" x14ac:dyDescent="0.25">
      <c r="C166" s="384"/>
      <c r="F166" s="385"/>
      <c r="G166" s="385"/>
      <c r="H166" s="385"/>
      <c r="I166" s="385"/>
      <c r="J166" s="385"/>
      <c r="K166" s="385"/>
      <c r="L166" s="385"/>
      <c r="M166" s="385"/>
      <c r="N166" s="385"/>
      <c r="O166" s="385"/>
    </row>
    <row r="167" spans="2:15" ht="15" customHeight="1" x14ac:dyDescent="0.25">
      <c r="B167" s="389"/>
      <c r="C167" s="384"/>
      <c r="F167" s="385"/>
      <c r="G167" s="385"/>
      <c r="H167" s="385"/>
      <c r="I167" s="385"/>
      <c r="J167" s="385"/>
      <c r="K167" s="385"/>
      <c r="L167" s="385"/>
      <c r="M167" s="385"/>
      <c r="N167" s="385"/>
      <c r="O167" s="385"/>
    </row>
    <row r="168" spans="2:15" ht="15" customHeight="1" x14ac:dyDescent="0.25">
      <c r="C168" s="384"/>
      <c r="F168" s="385"/>
      <c r="G168" s="385"/>
      <c r="H168" s="385"/>
      <c r="I168" s="385"/>
      <c r="J168" s="385"/>
      <c r="K168" s="385"/>
      <c r="L168" s="385"/>
      <c r="M168" s="385"/>
      <c r="N168" s="385"/>
      <c r="O168" s="385"/>
    </row>
    <row r="169" spans="2:15" ht="15" customHeight="1" x14ac:dyDescent="0.25">
      <c r="B169" s="386"/>
      <c r="C169" s="384"/>
      <c r="F169" s="385"/>
      <c r="G169" s="385"/>
      <c r="H169" s="385"/>
      <c r="I169" s="385"/>
      <c r="J169" s="385"/>
      <c r="K169" s="385"/>
      <c r="L169" s="385"/>
      <c r="M169" s="385"/>
      <c r="N169" s="385"/>
      <c r="O169" s="385"/>
    </row>
    <row r="170" spans="2:15" ht="15" customHeight="1" x14ac:dyDescent="0.25">
      <c r="B170" s="386"/>
      <c r="C170" s="384"/>
      <c r="F170" s="385"/>
      <c r="G170" s="385"/>
      <c r="H170" s="385"/>
      <c r="I170" s="385"/>
      <c r="J170" s="385"/>
      <c r="K170" s="385"/>
      <c r="L170" s="385"/>
      <c r="M170" s="385"/>
      <c r="N170" s="385"/>
      <c r="O170" s="385"/>
    </row>
    <row r="171" spans="2:15" ht="15" customHeight="1" x14ac:dyDescent="0.25">
      <c r="B171" s="386"/>
      <c r="C171" s="384"/>
      <c r="F171" s="385"/>
      <c r="G171" s="385"/>
      <c r="H171" s="385"/>
      <c r="I171" s="385"/>
      <c r="J171" s="385"/>
      <c r="K171" s="385"/>
      <c r="L171" s="385"/>
      <c r="M171" s="385"/>
      <c r="N171" s="385"/>
      <c r="O171" s="385"/>
    </row>
    <row r="172" spans="2:15" ht="15" customHeight="1" x14ac:dyDescent="0.25">
      <c r="B172" s="389"/>
      <c r="C172" s="384"/>
      <c r="F172" s="385"/>
      <c r="G172" s="385"/>
      <c r="H172" s="385"/>
      <c r="I172" s="385"/>
      <c r="J172" s="385"/>
      <c r="K172" s="385"/>
      <c r="L172" s="385"/>
      <c r="M172" s="385"/>
      <c r="N172" s="385"/>
      <c r="O172" s="385"/>
    </row>
    <row r="173" spans="2:15" ht="15" customHeight="1" x14ac:dyDescent="0.25">
      <c r="C173" s="384"/>
      <c r="F173" s="385"/>
      <c r="G173" s="385"/>
      <c r="H173" s="385"/>
      <c r="I173" s="385"/>
      <c r="J173" s="385"/>
      <c r="K173" s="385"/>
      <c r="L173" s="385"/>
      <c r="M173" s="385"/>
      <c r="N173" s="385"/>
      <c r="O173" s="385"/>
    </row>
    <row r="174" spans="2:15" ht="15" customHeight="1" x14ac:dyDescent="0.25">
      <c r="B174" s="386"/>
      <c r="C174" s="384"/>
      <c r="F174" s="385"/>
      <c r="G174" s="385"/>
      <c r="H174" s="385"/>
      <c r="I174" s="385"/>
      <c r="J174" s="385"/>
      <c r="K174" s="385"/>
      <c r="L174" s="385"/>
      <c r="M174" s="385"/>
      <c r="N174" s="385"/>
      <c r="O174" s="385"/>
    </row>
    <row r="175" spans="2:15" ht="15" customHeight="1" x14ac:dyDescent="0.25">
      <c r="B175" s="386"/>
      <c r="C175" s="384"/>
      <c r="F175" s="385"/>
      <c r="G175" s="385"/>
      <c r="H175" s="385"/>
      <c r="I175" s="385"/>
      <c r="J175" s="385"/>
      <c r="K175" s="385"/>
      <c r="L175" s="385"/>
      <c r="M175" s="385"/>
      <c r="N175" s="385"/>
      <c r="O175" s="385"/>
    </row>
    <row r="176" spans="2:15" ht="15" customHeight="1" x14ac:dyDescent="0.25">
      <c r="B176" s="389"/>
      <c r="C176" s="384"/>
      <c r="F176" s="385"/>
      <c r="G176" s="385"/>
      <c r="H176" s="385"/>
      <c r="I176" s="385"/>
      <c r="J176" s="385"/>
      <c r="K176" s="385"/>
      <c r="L176" s="385"/>
      <c r="M176" s="385"/>
      <c r="N176" s="385"/>
      <c r="O176" s="385"/>
    </row>
    <row r="177" spans="1:15" ht="15" customHeight="1" x14ac:dyDescent="0.25">
      <c r="C177" s="384"/>
      <c r="F177" s="385"/>
      <c r="G177" s="385"/>
      <c r="H177" s="385"/>
      <c r="I177" s="385"/>
      <c r="J177" s="385"/>
      <c r="K177" s="385"/>
      <c r="L177" s="385"/>
      <c r="M177" s="385"/>
      <c r="N177" s="385"/>
      <c r="O177" s="385"/>
    </row>
    <row r="178" spans="1:15" ht="15" customHeight="1" x14ac:dyDescent="0.25">
      <c r="B178" s="388"/>
      <c r="C178" s="390"/>
      <c r="F178" s="385"/>
      <c r="G178" s="385"/>
      <c r="H178" s="385"/>
      <c r="I178" s="385"/>
      <c r="J178" s="385"/>
      <c r="K178" s="385"/>
      <c r="L178" s="385"/>
      <c r="M178" s="385"/>
      <c r="N178" s="385"/>
      <c r="O178" s="385"/>
    </row>
    <row r="179" spans="1:15" ht="15" customHeight="1" x14ac:dyDescent="0.25">
      <c r="B179" s="389"/>
      <c r="C179" s="384"/>
      <c r="F179" s="385"/>
      <c r="G179" s="385"/>
      <c r="H179" s="385"/>
      <c r="I179" s="385"/>
      <c r="J179" s="385"/>
      <c r="K179" s="385"/>
      <c r="L179" s="385"/>
      <c r="M179" s="385"/>
      <c r="N179" s="385"/>
      <c r="O179" s="385"/>
    </row>
    <row r="180" spans="1:15" ht="15" customHeight="1" x14ac:dyDescent="0.25">
      <c r="B180" s="389"/>
      <c r="C180" s="384"/>
      <c r="F180" s="385"/>
      <c r="G180" s="385"/>
      <c r="H180" s="385"/>
      <c r="I180" s="385"/>
      <c r="J180" s="385"/>
      <c r="K180" s="385"/>
      <c r="L180" s="385"/>
      <c r="M180" s="385"/>
      <c r="N180" s="385"/>
      <c r="O180" s="385"/>
    </row>
    <row r="181" spans="1:15" ht="15" customHeight="1" x14ac:dyDescent="0.25">
      <c r="C181" s="384"/>
      <c r="F181" s="385"/>
      <c r="G181" s="385"/>
      <c r="H181" s="385"/>
      <c r="I181" s="385"/>
      <c r="J181" s="385"/>
      <c r="K181" s="385"/>
      <c r="L181" s="385"/>
      <c r="M181" s="385"/>
      <c r="N181" s="385"/>
      <c r="O181" s="385"/>
    </row>
    <row r="182" spans="1:15" ht="15" customHeight="1" x14ac:dyDescent="0.25"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1:15" ht="15" customHeight="1" x14ac:dyDescent="0.25">
      <c r="C183" s="390"/>
      <c r="F183" s="391"/>
      <c r="G183" s="391"/>
      <c r="H183" s="391"/>
      <c r="I183" s="391"/>
      <c r="J183" s="391"/>
      <c r="K183" s="391"/>
      <c r="L183" s="391"/>
      <c r="M183" s="391"/>
      <c r="N183" s="391"/>
      <c r="O183" s="391"/>
    </row>
    <row r="184" spans="1:15" ht="15" customHeight="1" x14ac:dyDescent="0.25">
      <c r="C184" s="390"/>
      <c r="F184" s="391"/>
      <c r="G184" s="391"/>
      <c r="H184" s="391"/>
      <c r="I184" s="391"/>
      <c r="J184" s="391"/>
      <c r="K184" s="391"/>
      <c r="L184" s="391"/>
      <c r="M184" s="391"/>
      <c r="N184" s="391"/>
      <c r="O184" s="391"/>
    </row>
    <row r="185" spans="1:15" ht="15" customHeight="1" x14ac:dyDescent="0.25"/>
    <row r="186" spans="1:15" ht="15" customHeight="1" x14ac:dyDescent="0.25">
      <c r="A186" s="381"/>
      <c r="C186" s="381"/>
      <c r="D186" s="382"/>
    </row>
    <row r="187" spans="1:15" ht="15" customHeight="1" x14ac:dyDescent="0.25">
      <c r="B187" s="386"/>
      <c r="C187" s="384"/>
      <c r="D187" s="380"/>
      <c r="F187" s="385"/>
      <c r="G187" s="385"/>
      <c r="H187" s="385"/>
      <c r="I187" s="385"/>
      <c r="J187" s="385"/>
      <c r="K187" s="385"/>
      <c r="L187" s="385"/>
      <c r="M187" s="385"/>
      <c r="N187" s="385"/>
      <c r="O187" s="385"/>
    </row>
    <row r="188" spans="1:15" ht="15" customHeight="1" x14ac:dyDescent="0.25">
      <c r="B188" s="386"/>
      <c r="C188" s="384"/>
      <c r="D188" s="380"/>
      <c r="E188" s="380"/>
      <c r="F188" s="387"/>
      <c r="G188" s="387"/>
      <c r="H188" s="387"/>
      <c r="I188" s="387"/>
      <c r="J188" s="387"/>
      <c r="K188" s="387"/>
      <c r="L188" s="387"/>
      <c r="M188" s="387"/>
      <c r="N188" s="387"/>
      <c r="O188" s="387"/>
    </row>
    <row r="189" spans="1:15" ht="15" customHeight="1" x14ac:dyDescent="0.25">
      <c r="B189" s="386"/>
      <c r="C189" s="384"/>
      <c r="F189" s="385"/>
      <c r="G189" s="385"/>
      <c r="H189" s="385"/>
      <c r="I189" s="385"/>
      <c r="J189" s="385"/>
      <c r="K189" s="385"/>
      <c r="L189" s="385"/>
      <c r="M189" s="385"/>
      <c r="N189" s="385"/>
      <c r="O189" s="385"/>
    </row>
    <row r="190" spans="1:15" ht="15" customHeight="1" x14ac:dyDescent="0.25">
      <c r="B190" s="386"/>
      <c r="C190" s="384"/>
      <c r="F190" s="385"/>
      <c r="G190" s="385"/>
      <c r="H190" s="385"/>
      <c r="I190" s="385"/>
      <c r="J190" s="385"/>
      <c r="K190" s="385"/>
      <c r="L190" s="385"/>
      <c r="M190" s="385"/>
      <c r="N190" s="385"/>
      <c r="O190" s="385"/>
    </row>
    <row r="191" spans="1:15" ht="15" customHeight="1" x14ac:dyDescent="0.25">
      <c r="B191" s="386"/>
      <c r="C191" s="384"/>
      <c r="F191" s="385"/>
      <c r="G191" s="385"/>
      <c r="H191" s="385"/>
      <c r="I191" s="385"/>
      <c r="J191" s="385"/>
      <c r="K191" s="385"/>
      <c r="L191" s="385"/>
      <c r="M191" s="385"/>
      <c r="N191" s="385"/>
      <c r="O191" s="385"/>
    </row>
    <row r="192" spans="1:15" ht="15" customHeight="1" x14ac:dyDescent="0.25">
      <c r="B192" s="386"/>
      <c r="C192" s="384"/>
      <c r="F192" s="385"/>
      <c r="G192" s="385"/>
      <c r="H192" s="385"/>
      <c r="I192" s="385"/>
      <c r="J192" s="385"/>
      <c r="K192" s="385"/>
      <c r="L192" s="385"/>
      <c r="M192" s="385"/>
      <c r="N192" s="385"/>
      <c r="O192" s="385"/>
    </row>
    <row r="193" spans="2:15" ht="15" customHeight="1" x14ac:dyDescent="0.25">
      <c r="B193" s="388"/>
      <c r="C193" s="384"/>
      <c r="F193" s="385"/>
      <c r="G193" s="385"/>
      <c r="H193" s="385"/>
      <c r="I193" s="385"/>
      <c r="J193" s="385"/>
      <c r="K193" s="385"/>
      <c r="L193" s="385"/>
      <c r="M193" s="385"/>
      <c r="N193" s="385"/>
      <c r="O193" s="385"/>
    </row>
    <row r="194" spans="2:15" ht="15" customHeight="1" x14ac:dyDescent="0.25">
      <c r="C194" s="384"/>
      <c r="F194" s="385"/>
      <c r="G194" s="385"/>
      <c r="H194" s="385"/>
      <c r="I194" s="385"/>
      <c r="J194" s="385"/>
      <c r="K194" s="385"/>
      <c r="L194" s="385"/>
      <c r="M194" s="385"/>
      <c r="N194" s="385"/>
      <c r="O194" s="385"/>
    </row>
    <row r="195" spans="2:15" ht="15" customHeight="1" x14ac:dyDescent="0.25">
      <c r="B195" s="386"/>
      <c r="C195" s="384"/>
      <c r="F195" s="385"/>
      <c r="G195" s="385"/>
      <c r="H195" s="385"/>
      <c r="I195" s="385"/>
      <c r="J195" s="385"/>
      <c r="K195" s="385"/>
      <c r="L195" s="385"/>
      <c r="M195" s="385"/>
      <c r="N195" s="385"/>
      <c r="O195" s="385"/>
    </row>
    <row r="196" spans="2:15" ht="15" customHeight="1" x14ac:dyDescent="0.25">
      <c r="B196" s="386"/>
      <c r="C196" s="384"/>
      <c r="F196" s="385"/>
      <c r="G196" s="385"/>
      <c r="H196" s="385"/>
      <c r="I196" s="385"/>
      <c r="J196" s="385"/>
      <c r="K196" s="385"/>
      <c r="L196" s="385"/>
      <c r="M196" s="385"/>
      <c r="N196" s="385"/>
      <c r="O196" s="385"/>
    </row>
    <row r="197" spans="2:15" ht="15" customHeight="1" x14ac:dyDescent="0.25">
      <c r="B197" s="386"/>
      <c r="C197" s="384"/>
      <c r="F197" s="385"/>
      <c r="G197" s="385"/>
      <c r="H197" s="385"/>
      <c r="I197" s="385"/>
      <c r="J197" s="385"/>
      <c r="K197" s="385"/>
      <c r="L197" s="385"/>
      <c r="M197" s="385"/>
      <c r="N197" s="385"/>
      <c r="O197" s="385"/>
    </row>
    <row r="198" spans="2:15" ht="15" customHeight="1" x14ac:dyDescent="0.25">
      <c r="B198" s="386"/>
      <c r="C198" s="384"/>
      <c r="F198" s="385"/>
      <c r="G198" s="385"/>
      <c r="H198" s="385"/>
      <c r="I198" s="385"/>
      <c r="J198" s="385"/>
      <c r="K198" s="385"/>
      <c r="L198" s="385"/>
      <c r="M198" s="385"/>
      <c r="N198" s="385"/>
      <c r="O198" s="385"/>
    </row>
    <row r="199" spans="2:15" ht="15" customHeight="1" x14ac:dyDescent="0.25">
      <c r="C199" s="384"/>
      <c r="F199" s="385"/>
      <c r="G199" s="385"/>
      <c r="H199" s="385"/>
      <c r="I199" s="385"/>
      <c r="J199" s="385"/>
      <c r="K199" s="385"/>
      <c r="L199" s="385"/>
      <c r="M199" s="385"/>
      <c r="N199" s="385"/>
      <c r="O199" s="385"/>
    </row>
    <row r="200" spans="2:15" ht="15" customHeight="1" x14ac:dyDescent="0.25">
      <c r="B200" s="386"/>
      <c r="C200" s="384"/>
      <c r="F200" s="385"/>
      <c r="G200" s="385"/>
      <c r="H200" s="385"/>
      <c r="I200" s="385"/>
      <c r="J200" s="385"/>
      <c r="K200" s="385"/>
      <c r="L200" s="385"/>
      <c r="M200" s="385"/>
      <c r="N200" s="385"/>
      <c r="O200" s="385"/>
    </row>
    <row r="201" spans="2:15" ht="15" customHeight="1" x14ac:dyDescent="0.25">
      <c r="B201" s="386"/>
      <c r="C201" s="384"/>
      <c r="F201" s="385"/>
      <c r="G201" s="385"/>
      <c r="H201" s="385"/>
      <c r="I201" s="385"/>
      <c r="J201" s="385"/>
      <c r="K201" s="385"/>
      <c r="L201" s="385"/>
      <c r="M201" s="385"/>
      <c r="N201" s="385"/>
      <c r="O201" s="385"/>
    </row>
    <row r="202" spans="2:15" ht="15" customHeight="1" x14ac:dyDescent="0.25">
      <c r="B202" s="386"/>
      <c r="C202" s="384"/>
      <c r="F202" s="385"/>
      <c r="G202" s="385"/>
      <c r="H202" s="385"/>
      <c r="I202" s="385"/>
      <c r="J202" s="385"/>
      <c r="K202" s="385"/>
      <c r="L202" s="385"/>
      <c r="M202" s="385"/>
      <c r="N202" s="385"/>
      <c r="O202" s="385"/>
    </row>
    <row r="203" spans="2:15" ht="15" customHeight="1" x14ac:dyDescent="0.25">
      <c r="B203" s="388"/>
      <c r="C203" s="384"/>
      <c r="F203" s="385"/>
      <c r="G203" s="385"/>
      <c r="H203" s="385"/>
      <c r="I203" s="385"/>
      <c r="J203" s="385"/>
      <c r="K203" s="385"/>
      <c r="L203" s="385"/>
      <c r="M203" s="385"/>
      <c r="N203" s="385"/>
      <c r="O203" s="385"/>
    </row>
    <row r="204" spans="2:15" ht="15" customHeight="1" x14ac:dyDescent="0.25">
      <c r="B204" s="386"/>
      <c r="C204" s="384"/>
      <c r="F204" s="385"/>
      <c r="G204" s="385"/>
      <c r="H204" s="385"/>
      <c r="I204" s="385"/>
      <c r="J204" s="385"/>
      <c r="K204" s="385"/>
      <c r="L204" s="385"/>
      <c r="M204" s="385"/>
      <c r="N204" s="385"/>
      <c r="O204" s="385"/>
    </row>
    <row r="205" spans="2:15" ht="15" customHeight="1" x14ac:dyDescent="0.25">
      <c r="B205" s="386"/>
      <c r="C205" s="384"/>
      <c r="F205" s="385"/>
      <c r="G205" s="385"/>
      <c r="H205" s="385"/>
      <c r="I205" s="385"/>
      <c r="J205" s="385"/>
      <c r="K205" s="385"/>
      <c r="L205" s="385"/>
      <c r="M205" s="385"/>
      <c r="N205" s="385"/>
      <c r="O205" s="385"/>
    </row>
    <row r="206" spans="2:15" ht="15" customHeight="1" x14ac:dyDescent="0.25">
      <c r="B206" s="386"/>
      <c r="C206" s="384"/>
      <c r="F206" s="385"/>
      <c r="G206" s="385"/>
      <c r="H206" s="385"/>
      <c r="I206" s="385"/>
      <c r="J206" s="385"/>
      <c r="K206" s="385"/>
      <c r="L206" s="385"/>
      <c r="M206" s="385"/>
      <c r="N206" s="385"/>
      <c r="O206" s="385"/>
    </row>
    <row r="207" spans="2:15" ht="15" customHeight="1" x14ac:dyDescent="0.25">
      <c r="B207" s="386"/>
      <c r="C207" s="384"/>
      <c r="F207" s="385"/>
      <c r="G207" s="385"/>
      <c r="H207" s="385"/>
      <c r="I207" s="385"/>
      <c r="J207" s="385"/>
      <c r="K207" s="385"/>
      <c r="L207" s="385"/>
      <c r="M207" s="385"/>
      <c r="N207" s="385"/>
      <c r="O207" s="385"/>
    </row>
    <row r="208" spans="2:15" ht="15" customHeight="1" x14ac:dyDescent="0.25">
      <c r="B208" s="386"/>
      <c r="C208" s="384"/>
      <c r="F208" s="385"/>
      <c r="G208" s="385"/>
      <c r="H208" s="385"/>
      <c r="I208" s="385"/>
      <c r="J208" s="385"/>
      <c r="K208" s="385"/>
      <c r="L208" s="385"/>
      <c r="M208" s="385"/>
      <c r="N208" s="385"/>
      <c r="O208" s="385"/>
    </row>
    <row r="209" spans="2:15" ht="15" customHeight="1" x14ac:dyDescent="0.25">
      <c r="B209" s="386"/>
      <c r="C209" s="384"/>
      <c r="F209" s="385"/>
      <c r="G209" s="385"/>
      <c r="H209" s="385"/>
      <c r="I209" s="385"/>
      <c r="J209" s="385"/>
      <c r="K209" s="385"/>
      <c r="L209" s="385"/>
      <c r="M209" s="385"/>
      <c r="N209" s="385"/>
      <c r="O209" s="385"/>
    </row>
    <row r="210" spans="2:15" ht="15" customHeight="1" x14ac:dyDescent="0.25">
      <c r="B210" s="386"/>
      <c r="C210" s="384"/>
      <c r="F210" s="385"/>
      <c r="G210" s="385"/>
      <c r="H210" s="385"/>
      <c r="I210" s="385"/>
      <c r="J210" s="385"/>
      <c r="K210" s="385"/>
      <c r="L210" s="385"/>
      <c r="M210" s="385"/>
      <c r="N210" s="385"/>
      <c r="O210" s="385"/>
    </row>
    <row r="211" spans="2:15" ht="15" customHeight="1" x14ac:dyDescent="0.25">
      <c r="B211" s="386"/>
      <c r="C211" s="384"/>
      <c r="F211" s="385"/>
      <c r="G211" s="385"/>
      <c r="H211" s="385"/>
      <c r="I211" s="385"/>
      <c r="J211" s="385"/>
      <c r="K211" s="385"/>
      <c r="L211" s="385"/>
      <c r="M211" s="385"/>
      <c r="N211" s="385"/>
      <c r="O211" s="385"/>
    </row>
    <row r="212" spans="2:15" ht="15" customHeight="1" x14ac:dyDescent="0.25">
      <c r="B212" s="389"/>
      <c r="C212" s="384"/>
      <c r="F212" s="385"/>
      <c r="G212" s="385"/>
      <c r="H212" s="385"/>
      <c r="I212" s="385"/>
      <c r="J212" s="385"/>
      <c r="K212" s="385"/>
      <c r="L212" s="385"/>
      <c r="M212" s="385"/>
      <c r="N212" s="385"/>
      <c r="O212" s="385"/>
    </row>
    <row r="213" spans="2:15" ht="15" customHeight="1" x14ac:dyDescent="0.25">
      <c r="C213" s="384"/>
      <c r="F213" s="385"/>
      <c r="G213" s="385"/>
      <c r="H213" s="385"/>
      <c r="I213" s="385"/>
      <c r="J213" s="385"/>
      <c r="K213" s="385"/>
      <c r="L213" s="385"/>
      <c r="M213" s="385"/>
      <c r="N213" s="385"/>
      <c r="O213" s="385"/>
    </row>
    <row r="214" spans="2:15" ht="15" customHeight="1" x14ac:dyDescent="0.25">
      <c r="B214" s="389"/>
      <c r="C214" s="384"/>
      <c r="F214" s="385"/>
      <c r="G214" s="385"/>
      <c r="H214" s="385"/>
      <c r="I214" s="385"/>
      <c r="J214" s="385"/>
      <c r="K214" s="385"/>
      <c r="L214" s="385"/>
      <c r="M214" s="385"/>
      <c r="N214" s="385"/>
      <c r="O214" s="385"/>
    </row>
    <row r="215" spans="2:15" ht="15" customHeight="1" x14ac:dyDescent="0.25">
      <c r="C215" s="384"/>
      <c r="F215" s="385"/>
      <c r="G215" s="385"/>
      <c r="H215" s="385"/>
      <c r="I215" s="385"/>
      <c r="J215" s="385"/>
      <c r="K215" s="385"/>
      <c r="L215" s="385"/>
      <c r="M215" s="385"/>
      <c r="N215" s="385"/>
      <c r="O215" s="385"/>
    </row>
    <row r="216" spans="2:15" ht="15" customHeight="1" x14ac:dyDescent="0.25">
      <c r="B216" s="386"/>
      <c r="C216" s="384"/>
      <c r="F216" s="385"/>
      <c r="G216" s="385"/>
      <c r="H216" s="385"/>
      <c r="I216" s="385"/>
      <c r="J216" s="385"/>
      <c r="K216" s="385"/>
      <c r="L216" s="385"/>
      <c r="M216" s="385"/>
      <c r="N216" s="385"/>
      <c r="O216" s="385"/>
    </row>
    <row r="217" spans="2:15" ht="15" customHeight="1" x14ac:dyDescent="0.25">
      <c r="B217" s="386"/>
      <c r="C217" s="384"/>
      <c r="F217" s="385"/>
      <c r="G217" s="385"/>
      <c r="H217" s="385"/>
      <c r="I217" s="385"/>
      <c r="J217" s="385"/>
      <c r="K217" s="385"/>
      <c r="L217" s="385"/>
      <c r="M217" s="385"/>
      <c r="N217" s="385"/>
      <c r="O217" s="385"/>
    </row>
    <row r="218" spans="2:15" ht="15" customHeight="1" x14ac:dyDescent="0.25">
      <c r="B218" s="386"/>
      <c r="C218" s="384"/>
      <c r="F218" s="385"/>
      <c r="G218" s="385"/>
      <c r="H218" s="385"/>
      <c r="I218" s="385"/>
      <c r="J218" s="385"/>
      <c r="K218" s="385"/>
      <c r="L218" s="385"/>
      <c r="M218" s="385"/>
      <c r="N218" s="385"/>
      <c r="O218" s="385"/>
    </row>
    <row r="219" spans="2:15" ht="15" customHeight="1" x14ac:dyDescent="0.25">
      <c r="B219" s="389"/>
      <c r="C219" s="384"/>
      <c r="F219" s="385"/>
      <c r="G219" s="385"/>
      <c r="H219" s="385"/>
      <c r="I219" s="385"/>
      <c r="J219" s="385"/>
      <c r="K219" s="385"/>
      <c r="L219" s="385"/>
      <c r="M219" s="385"/>
      <c r="N219" s="385"/>
      <c r="O219" s="385"/>
    </row>
    <row r="220" spans="2:15" ht="15" customHeight="1" x14ac:dyDescent="0.25">
      <c r="C220" s="384"/>
      <c r="F220" s="385"/>
      <c r="G220" s="385"/>
      <c r="H220" s="385"/>
      <c r="I220" s="385"/>
      <c r="J220" s="385"/>
      <c r="K220" s="385"/>
      <c r="L220" s="385"/>
      <c r="M220" s="385"/>
      <c r="N220" s="385"/>
      <c r="O220" s="385"/>
    </row>
    <row r="221" spans="2:15" ht="15" customHeight="1" x14ac:dyDescent="0.25">
      <c r="B221" s="386"/>
      <c r="C221" s="384"/>
      <c r="F221" s="385"/>
      <c r="G221" s="385"/>
      <c r="H221" s="385"/>
      <c r="I221" s="385"/>
      <c r="J221" s="385"/>
      <c r="K221" s="385"/>
      <c r="L221" s="385"/>
      <c r="M221" s="385"/>
      <c r="N221" s="385"/>
      <c r="O221" s="385"/>
    </row>
    <row r="222" spans="2:15" ht="15" customHeight="1" x14ac:dyDescent="0.25">
      <c r="B222" s="386"/>
      <c r="C222" s="384"/>
      <c r="F222" s="385"/>
      <c r="G222" s="385"/>
      <c r="H222" s="385"/>
      <c r="I222" s="385"/>
      <c r="J222" s="385"/>
      <c r="K222" s="385"/>
      <c r="L222" s="385"/>
      <c r="M222" s="385"/>
      <c r="N222" s="385"/>
      <c r="O222" s="385"/>
    </row>
    <row r="223" spans="2:15" ht="15" customHeight="1" x14ac:dyDescent="0.25">
      <c r="B223" s="389"/>
      <c r="C223" s="384"/>
      <c r="F223" s="385"/>
      <c r="G223" s="385"/>
      <c r="H223" s="385"/>
      <c r="I223" s="385"/>
      <c r="J223" s="385"/>
      <c r="K223" s="385"/>
      <c r="L223" s="385"/>
      <c r="M223" s="385"/>
      <c r="N223" s="385"/>
      <c r="O223" s="385"/>
    </row>
    <row r="224" spans="2:15" ht="15" customHeight="1" x14ac:dyDescent="0.25">
      <c r="C224" s="384"/>
      <c r="F224" s="385"/>
      <c r="G224" s="385"/>
      <c r="H224" s="385"/>
      <c r="I224" s="385"/>
      <c r="J224" s="385"/>
      <c r="K224" s="385"/>
      <c r="L224" s="385"/>
      <c r="M224" s="385"/>
      <c r="N224" s="385"/>
      <c r="O224" s="385"/>
    </row>
    <row r="225" spans="1:15" ht="15" customHeight="1" x14ac:dyDescent="0.25">
      <c r="B225" s="388"/>
      <c r="C225" s="390"/>
      <c r="F225" s="385"/>
      <c r="G225" s="385"/>
      <c r="H225" s="385"/>
      <c r="I225" s="385"/>
      <c r="J225" s="385"/>
      <c r="K225" s="385"/>
      <c r="L225" s="385"/>
      <c r="M225" s="385"/>
      <c r="N225" s="385"/>
      <c r="O225" s="385"/>
    </row>
    <row r="226" spans="1:15" ht="15" customHeight="1" x14ac:dyDescent="0.25">
      <c r="B226" s="389"/>
      <c r="C226" s="384"/>
      <c r="F226" s="385"/>
      <c r="G226" s="385"/>
      <c r="H226" s="385"/>
      <c r="I226" s="385"/>
      <c r="J226" s="385"/>
      <c r="K226" s="385"/>
      <c r="L226" s="385"/>
      <c r="M226" s="385"/>
      <c r="N226" s="385"/>
      <c r="O226" s="385"/>
    </row>
    <row r="227" spans="1:15" ht="15" customHeight="1" x14ac:dyDescent="0.25">
      <c r="B227" s="389"/>
      <c r="C227" s="384"/>
      <c r="F227" s="385"/>
      <c r="G227" s="385"/>
      <c r="H227" s="385"/>
      <c r="I227" s="385"/>
      <c r="J227" s="385"/>
      <c r="K227" s="385"/>
      <c r="L227" s="385"/>
      <c r="M227" s="385"/>
      <c r="N227" s="385"/>
      <c r="O227" s="385"/>
    </row>
    <row r="228" spans="1:15" ht="15" customHeight="1" x14ac:dyDescent="0.25">
      <c r="C228" s="390"/>
      <c r="F228" s="385"/>
      <c r="G228" s="385"/>
      <c r="H228" s="385"/>
      <c r="I228" s="385"/>
      <c r="J228" s="385"/>
      <c r="K228" s="385"/>
      <c r="L228" s="385"/>
      <c r="M228" s="385"/>
      <c r="N228" s="385"/>
      <c r="O228" s="385"/>
    </row>
    <row r="229" spans="1:15" ht="15" customHeight="1" x14ac:dyDescent="0.25">
      <c r="F229" s="385"/>
      <c r="G229" s="385"/>
      <c r="H229" s="385"/>
      <c r="I229" s="385"/>
      <c r="J229" s="385"/>
      <c r="K229" s="385"/>
      <c r="L229" s="385"/>
      <c r="M229" s="385"/>
      <c r="N229" s="385"/>
      <c r="O229" s="385"/>
    </row>
    <row r="230" spans="1:15" ht="15" customHeight="1" x14ac:dyDescent="0.25">
      <c r="M230" s="391"/>
      <c r="N230" s="391"/>
      <c r="O230" s="391"/>
    </row>
    <row r="231" spans="1:15" ht="15" customHeight="1" x14ac:dyDescent="0.25"/>
    <row r="232" spans="1:15" ht="15" customHeight="1" x14ac:dyDescent="0.25">
      <c r="A232" s="381"/>
      <c r="C232" s="381"/>
      <c r="D232" s="382"/>
    </row>
    <row r="233" spans="1:15" ht="15" customHeight="1" x14ac:dyDescent="0.25">
      <c r="B233" s="386"/>
      <c r="C233" s="384"/>
      <c r="D233" s="380"/>
      <c r="F233" s="385"/>
      <c r="G233" s="385"/>
      <c r="H233" s="385"/>
      <c r="I233" s="385"/>
      <c r="J233" s="385"/>
      <c r="K233" s="385"/>
      <c r="L233" s="385"/>
      <c r="M233" s="385"/>
      <c r="N233" s="385"/>
      <c r="O233" s="385"/>
    </row>
    <row r="234" spans="1:15" ht="15" customHeight="1" x14ac:dyDescent="0.25">
      <c r="B234" s="386"/>
      <c r="C234" s="384"/>
      <c r="D234" s="380"/>
      <c r="E234" s="380"/>
      <c r="F234" s="387"/>
      <c r="G234" s="387"/>
      <c r="H234" s="387"/>
      <c r="I234" s="387"/>
      <c r="J234" s="387"/>
      <c r="K234" s="387"/>
      <c r="L234" s="387"/>
      <c r="M234" s="387"/>
      <c r="N234" s="387"/>
      <c r="O234" s="387"/>
    </row>
    <row r="235" spans="1:15" ht="15" customHeight="1" x14ac:dyDescent="0.25">
      <c r="B235" s="386"/>
      <c r="C235" s="384"/>
      <c r="F235" s="385"/>
      <c r="G235" s="385"/>
      <c r="H235" s="385"/>
      <c r="I235" s="385"/>
      <c r="J235" s="385"/>
      <c r="K235" s="385"/>
      <c r="L235" s="385"/>
      <c r="M235" s="385"/>
      <c r="N235" s="385"/>
      <c r="O235" s="385"/>
    </row>
    <row r="236" spans="1:15" ht="15" customHeight="1" x14ac:dyDescent="0.25">
      <c r="B236" s="386"/>
      <c r="C236" s="384"/>
      <c r="F236" s="385"/>
      <c r="G236" s="385"/>
      <c r="H236" s="385"/>
      <c r="I236" s="385"/>
      <c r="J236" s="385"/>
      <c r="K236" s="385"/>
      <c r="L236" s="385"/>
      <c r="M236" s="385"/>
      <c r="N236" s="385"/>
      <c r="O236" s="385"/>
    </row>
    <row r="237" spans="1:15" ht="15" customHeight="1" x14ac:dyDescent="0.25">
      <c r="B237" s="386"/>
      <c r="C237" s="384"/>
      <c r="F237" s="385"/>
      <c r="G237" s="385"/>
      <c r="H237" s="385"/>
      <c r="I237" s="385"/>
      <c r="J237" s="385"/>
      <c r="K237" s="385"/>
      <c r="L237" s="385"/>
      <c r="M237" s="385"/>
      <c r="N237" s="385"/>
      <c r="O237" s="385"/>
    </row>
    <row r="238" spans="1:15" ht="15" customHeight="1" x14ac:dyDescent="0.25">
      <c r="B238" s="386"/>
      <c r="C238" s="384"/>
      <c r="F238" s="385"/>
      <c r="G238" s="385"/>
      <c r="H238" s="385"/>
      <c r="I238" s="385"/>
      <c r="J238" s="385"/>
      <c r="K238" s="385"/>
      <c r="L238" s="385"/>
      <c r="M238" s="385"/>
      <c r="N238" s="385"/>
      <c r="O238" s="385"/>
    </row>
    <row r="239" spans="1:15" ht="15" customHeight="1" x14ac:dyDescent="0.25">
      <c r="B239" s="388"/>
      <c r="C239" s="384"/>
      <c r="F239" s="385"/>
      <c r="G239" s="385"/>
      <c r="H239" s="385"/>
      <c r="I239" s="385"/>
      <c r="J239" s="385"/>
      <c r="K239" s="385"/>
      <c r="L239" s="385"/>
      <c r="M239" s="385"/>
      <c r="N239" s="385"/>
      <c r="O239" s="385"/>
    </row>
    <row r="240" spans="1:15" ht="15" customHeight="1" x14ac:dyDescent="0.25">
      <c r="C240" s="384"/>
      <c r="F240" s="385"/>
      <c r="G240" s="385"/>
      <c r="H240" s="385"/>
      <c r="I240" s="385"/>
      <c r="J240" s="385"/>
      <c r="K240" s="385"/>
      <c r="L240" s="385"/>
      <c r="M240" s="385"/>
      <c r="N240" s="385"/>
      <c r="O240" s="385"/>
    </row>
    <row r="241" spans="2:15" ht="15" customHeight="1" x14ac:dyDescent="0.25">
      <c r="B241" s="386"/>
      <c r="C241" s="384"/>
      <c r="F241" s="385"/>
      <c r="G241" s="385"/>
      <c r="H241" s="385"/>
      <c r="I241" s="385"/>
      <c r="J241" s="385"/>
      <c r="K241" s="385"/>
      <c r="L241" s="385"/>
      <c r="M241" s="385"/>
      <c r="N241" s="385"/>
      <c r="O241" s="385"/>
    </row>
    <row r="242" spans="2:15" ht="15" customHeight="1" x14ac:dyDescent="0.25">
      <c r="B242" s="386"/>
      <c r="C242" s="384"/>
      <c r="F242" s="385"/>
      <c r="G242" s="385"/>
      <c r="H242" s="385"/>
      <c r="I242" s="385"/>
      <c r="J242" s="385"/>
      <c r="K242" s="385"/>
      <c r="L242" s="385"/>
      <c r="M242" s="385"/>
      <c r="N242" s="385"/>
      <c r="O242" s="385"/>
    </row>
    <row r="243" spans="2:15" ht="15" customHeight="1" x14ac:dyDescent="0.25">
      <c r="B243" s="386"/>
      <c r="C243" s="384"/>
      <c r="F243" s="385"/>
      <c r="G243" s="385"/>
      <c r="H243" s="385"/>
      <c r="I243" s="385"/>
      <c r="J243" s="385"/>
      <c r="K243" s="385"/>
      <c r="L243" s="385"/>
      <c r="M243" s="385"/>
      <c r="N243" s="385"/>
      <c r="O243" s="385"/>
    </row>
    <row r="244" spans="2:15" ht="15" customHeight="1" x14ac:dyDescent="0.25">
      <c r="B244" s="386"/>
      <c r="C244" s="384"/>
      <c r="F244" s="385"/>
      <c r="G244" s="385"/>
      <c r="H244" s="385"/>
      <c r="I244" s="385"/>
      <c r="J244" s="385"/>
      <c r="K244" s="385"/>
      <c r="L244" s="385"/>
      <c r="M244" s="385"/>
      <c r="N244" s="385"/>
      <c r="O244" s="385"/>
    </row>
    <row r="245" spans="2:15" ht="15" customHeight="1" x14ac:dyDescent="0.25">
      <c r="C245" s="384"/>
      <c r="F245" s="385"/>
      <c r="G245" s="385"/>
      <c r="H245" s="385"/>
      <c r="I245" s="385"/>
      <c r="J245" s="385"/>
      <c r="K245" s="385"/>
      <c r="L245" s="385"/>
      <c r="M245" s="385"/>
      <c r="N245" s="385"/>
      <c r="O245" s="385"/>
    </row>
    <row r="246" spans="2:15" ht="15" customHeight="1" x14ac:dyDescent="0.25">
      <c r="B246" s="386"/>
      <c r="C246" s="384"/>
      <c r="F246" s="385"/>
      <c r="G246" s="385"/>
      <c r="H246" s="385"/>
      <c r="I246" s="385"/>
      <c r="J246" s="385"/>
      <c r="K246" s="385"/>
      <c r="L246" s="385"/>
      <c r="M246" s="385"/>
      <c r="N246" s="385"/>
      <c r="O246" s="385"/>
    </row>
    <row r="247" spans="2:15" ht="15" customHeight="1" x14ac:dyDescent="0.25">
      <c r="B247" s="386"/>
      <c r="C247" s="384"/>
      <c r="F247" s="385"/>
      <c r="G247" s="385"/>
      <c r="H247" s="385"/>
      <c r="I247" s="385"/>
      <c r="J247" s="385"/>
      <c r="K247" s="385"/>
      <c r="L247" s="385"/>
      <c r="M247" s="385"/>
      <c r="N247" s="385"/>
      <c r="O247" s="385"/>
    </row>
    <row r="248" spans="2:15" ht="15" customHeight="1" x14ac:dyDescent="0.25">
      <c r="B248" s="386"/>
      <c r="C248" s="384"/>
      <c r="F248" s="385"/>
      <c r="G248" s="385"/>
      <c r="H248" s="385"/>
      <c r="I248" s="385"/>
      <c r="J248" s="385"/>
      <c r="K248" s="385"/>
      <c r="L248" s="385"/>
      <c r="M248" s="385"/>
      <c r="N248" s="385"/>
      <c r="O248" s="385"/>
    </row>
    <row r="249" spans="2:15" ht="15" customHeight="1" x14ac:dyDescent="0.25">
      <c r="B249" s="388"/>
      <c r="C249" s="384"/>
      <c r="F249" s="385"/>
      <c r="G249" s="385"/>
      <c r="H249" s="385"/>
      <c r="I249" s="385"/>
      <c r="J249" s="385"/>
      <c r="K249" s="385"/>
      <c r="L249" s="385"/>
      <c r="M249" s="385"/>
      <c r="N249" s="385"/>
      <c r="O249" s="385"/>
    </row>
    <row r="250" spans="2:15" ht="15" customHeight="1" x14ac:dyDescent="0.25">
      <c r="B250" s="386"/>
      <c r="C250" s="384"/>
      <c r="F250" s="385"/>
      <c r="G250" s="385"/>
      <c r="H250" s="385"/>
      <c r="I250" s="385"/>
      <c r="J250" s="385"/>
      <c r="K250" s="385"/>
      <c r="L250" s="385"/>
      <c r="M250" s="385"/>
      <c r="N250" s="385"/>
      <c r="O250" s="385"/>
    </row>
    <row r="251" spans="2:15" ht="15" customHeight="1" x14ac:dyDescent="0.25">
      <c r="B251" s="386"/>
      <c r="C251" s="384"/>
      <c r="F251" s="385"/>
      <c r="G251" s="385"/>
      <c r="H251" s="385"/>
      <c r="I251" s="385"/>
      <c r="J251" s="385"/>
      <c r="K251" s="385"/>
      <c r="L251" s="385"/>
      <c r="M251" s="385"/>
      <c r="N251" s="385"/>
      <c r="O251" s="385"/>
    </row>
    <row r="252" spans="2:15" ht="15" customHeight="1" x14ac:dyDescent="0.25">
      <c r="B252" s="386"/>
      <c r="C252" s="384"/>
      <c r="F252" s="385"/>
      <c r="G252" s="385"/>
      <c r="H252" s="385"/>
      <c r="I252" s="385"/>
      <c r="J252" s="385"/>
      <c r="K252" s="385"/>
      <c r="L252" s="385"/>
      <c r="M252" s="385"/>
      <c r="N252" s="385"/>
      <c r="O252" s="385"/>
    </row>
    <row r="253" spans="2:15" ht="15" customHeight="1" x14ac:dyDescent="0.25">
      <c r="B253" s="386"/>
      <c r="C253" s="384"/>
      <c r="F253" s="385"/>
      <c r="G253" s="385"/>
      <c r="H253" s="385"/>
      <c r="I253" s="385"/>
      <c r="J253" s="385"/>
      <c r="K253" s="385"/>
      <c r="L253" s="385"/>
      <c r="M253" s="385"/>
      <c r="N253" s="385"/>
      <c r="O253" s="385"/>
    </row>
    <row r="254" spans="2:15" ht="15" customHeight="1" x14ac:dyDescent="0.25">
      <c r="B254" s="386"/>
      <c r="C254" s="384"/>
      <c r="F254" s="385"/>
      <c r="G254" s="385"/>
      <c r="H254" s="385"/>
      <c r="I254" s="385"/>
      <c r="J254" s="385"/>
      <c r="K254" s="385"/>
      <c r="L254" s="385"/>
      <c r="M254" s="385"/>
      <c r="N254" s="385"/>
      <c r="O254" s="385"/>
    </row>
    <row r="255" spans="2:15" ht="15" customHeight="1" x14ac:dyDescent="0.25">
      <c r="B255" s="386"/>
      <c r="C255" s="384"/>
      <c r="F255" s="385"/>
      <c r="G255" s="385"/>
      <c r="H255" s="385"/>
      <c r="I255" s="385"/>
      <c r="J255" s="385"/>
      <c r="K255" s="385"/>
      <c r="L255" s="385"/>
      <c r="M255" s="385"/>
      <c r="N255" s="385"/>
      <c r="O255" s="385"/>
    </row>
    <row r="256" spans="2:15" ht="15" customHeight="1" x14ac:dyDescent="0.25">
      <c r="B256" s="386"/>
      <c r="C256" s="384"/>
      <c r="F256" s="385"/>
      <c r="G256" s="385"/>
      <c r="H256" s="385"/>
      <c r="I256" s="385"/>
      <c r="J256" s="385"/>
      <c r="K256" s="385"/>
      <c r="L256" s="385"/>
      <c r="M256" s="385"/>
      <c r="N256" s="385"/>
      <c r="O256" s="385"/>
    </row>
    <row r="257" spans="2:15" ht="15" customHeight="1" x14ac:dyDescent="0.25">
      <c r="B257" s="386"/>
      <c r="C257" s="384"/>
      <c r="F257" s="385"/>
      <c r="G257" s="385"/>
      <c r="H257" s="385"/>
      <c r="I257" s="385"/>
      <c r="J257" s="385"/>
      <c r="K257" s="385"/>
      <c r="L257" s="385"/>
      <c r="M257" s="385"/>
      <c r="N257" s="385"/>
      <c r="O257" s="385"/>
    </row>
    <row r="258" spans="2:15" ht="15" customHeight="1" x14ac:dyDescent="0.25">
      <c r="B258" s="389"/>
      <c r="C258" s="384"/>
      <c r="F258" s="385"/>
      <c r="G258" s="385"/>
      <c r="H258" s="385"/>
      <c r="I258" s="385"/>
      <c r="J258" s="385"/>
      <c r="K258" s="385"/>
      <c r="L258" s="385"/>
      <c r="M258" s="385"/>
      <c r="N258" s="385"/>
      <c r="O258" s="385"/>
    </row>
    <row r="259" spans="2:15" ht="15" customHeight="1" x14ac:dyDescent="0.25">
      <c r="C259" s="384"/>
      <c r="F259" s="385"/>
      <c r="G259" s="385"/>
      <c r="H259" s="385"/>
      <c r="I259" s="385"/>
      <c r="J259" s="385"/>
      <c r="K259" s="385"/>
      <c r="L259" s="385"/>
      <c r="M259" s="385"/>
      <c r="N259" s="385"/>
      <c r="O259" s="385"/>
    </row>
    <row r="260" spans="2:15" ht="15" customHeight="1" x14ac:dyDescent="0.25">
      <c r="B260" s="389"/>
      <c r="C260" s="384"/>
      <c r="F260" s="385"/>
      <c r="G260" s="385"/>
      <c r="H260" s="385"/>
      <c r="I260" s="385"/>
      <c r="J260" s="385"/>
      <c r="K260" s="385"/>
      <c r="L260" s="385"/>
      <c r="M260" s="385"/>
      <c r="N260" s="385"/>
      <c r="O260" s="385"/>
    </row>
    <row r="261" spans="2:15" ht="15" customHeight="1" x14ac:dyDescent="0.25">
      <c r="C261" s="384"/>
      <c r="F261" s="385"/>
      <c r="G261" s="385"/>
      <c r="H261" s="385"/>
      <c r="I261" s="385"/>
      <c r="J261" s="385"/>
      <c r="K261" s="385"/>
      <c r="L261" s="385"/>
      <c r="M261" s="385"/>
      <c r="N261" s="385"/>
      <c r="O261" s="385"/>
    </row>
    <row r="262" spans="2:15" ht="15" customHeight="1" x14ac:dyDescent="0.25">
      <c r="B262" s="386"/>
      <c r="C262" s="384"/>
      <c r="F262" s="385"/>
      <c r="G262" s="385"/>
      <c r="H262" s="385"/>
      <c r="I262" s="385"/>
      <c r="J262" s="385"/>
      <c r="K262" s="385"/>
      <c r="L262" s="385"/>
      <c r="M262" s="385"/>
      <c r="N262" s="385"/>
      <c r="O262" s="385"/>
    </row>
    <row r="263" spans="2:15" ht="15" customHeight="1" x14ac:dyDescent="0.25">
      <c r="B263" s="386"/>
      <c r="C263" s="384"/>
      <c r="F263" s="385"/>
      <c r="G263" s="385"/>
      <c r="H263" s="385"/>
      <c r="I263" s="385"/>
      <c r="J263" s="385"/>
      <c r="K263" s="385"/>
      <c r="L263" s="385"/>
      <c r="M263" s="385"/>
      <c r="N263" s="385"/>
      <c r="O263" s="385"/>
    </row>
    <row r="264" spans="2:15" ht="15" customHeight="1" x14ac:dyDescent="0.25">
      <c r="B264" s="386"/>
      <c r="C264" s="384"/>
      <c r="F264" s="385"/>
      <c r="G264" s="385"/>
      <c r="H264" s="385"/>
      <c r="I264" s="385"/>
      <c r="J264" s="385"/>
      <c r="K264" s="385"/>
      <c r="L264" s="385"/>
      <c r="M264" s="385"/>
      <c r="N264" s="385"/>
      <c r="O264" s="385"/>
    </row>
    <row r="265" spans="2:15" ht="15" customHeight="1" x14ac:dyDescent="0.25">
      <c r="B265" s="389"/>
      <c r="C265" s="384"/>
      <c r="F265" s="385"/>
      <c r="G265" s="385"/>
      <c r="H265" s="385"/>
      <c r="I265" s="385"/>
      <c r="J265" s="385"/>
      <c r="K265" s="385"/>
      <c r="L265" s="385"/>
      <c r="M265" s="385"/>
      <c r="N265" s="385"/>
      <c r="O265" s="385"/>
    </row>
    <row r="266" spans="2:15" ht="15" customHeight="1" x14ac:dyDescent="0.25">
      <c r="C266" s="384"/>
      <c r="F266" s="385"/>
      <c r="G266" s="385"/>
      <c r="H266" s="385"/>
      <c r="I266" s="385"/>
      <c r="J266" s="385"/>
      <c r="K266" s="385"/>
      <c r="L266" s="385"/>
      <c r="M266" s="385"/>
      <c r="N266" s="385"/>
      <c r="O266" s="385"/>
    </row>
    <row r="267" spans="2:15" ht="15" customHeight="1" x14ac:dyDescent="0.25">
      <c r="B267" s="386"/>
      <c r="C267" s="384"/>
      <c r="F267" s="385"/>
      <c r="G267" s="385"/>
      <c r="H267" s="385"/>
      <c r="I267" s="385"/>
      <c r="J267" s="385"/>
      <c r="K267" s="385"/>
      <c r="L267" s="385"/>
      <c r="M267" s="385"/>
      <c r="N267" s="385"/>
      <c r="O267" s="385"/>
    </row>
    <row r="268" spans="2:15" ht="15" customHeight="1" x14ac:dyDescent="0.25">
      <c r="B268" s="386"/>
      <c r="C268" s="384"/>
      <c r="F268" s="385"/>
      <c r="G268" s="385"/>
      <c r="H268" s="385"/>
      <c r="I268" s="385"/>
      <c r="J268" s="385"/>
      <c r="K268" s="385"/>
      <c r="L268" s="385"/>
      <c r="M268" s="385"/>
      <c r="N268" s="385"/>
      <c r="O268" s="385"/>
    </row>
    <row r="269" spans="2:15" ht="15" customHeight="1" x14ac:dyDescent="0.25">
      <c r="B269" s="389"/>
      <c r="C269" s="384"/>
      <c r="F269" s="385"/>
      <c r="G269" s="385"/>
      <c r="H269" s="385"/>
      <c r="I269" s="385"/>
      <c r="J269" s="385"/>
      <c r="K269" s="385"/>
      <c r="L269" s="385"/>
      <c r="M269" s="385"/>
      <c r="N269" s="385"/>
      <c r="O269" s="385"/>
    </row>
    <row r="270" spans="2:15" ht="15" customHeight="1" x14ac:dyDescent="0.25">
      <c r="C270" s="384"/>
      <c r="F270" s="385"/>
      <c r="G270" s="385"/>
      <c r="H270" s="385"/>
      <c r="I270" s="385"/>
      <c r="J270" s="385"/>
      <c r="K270" s="385"/>
      <c r="L270" s="385"/>
      <c r="M270" s="385"/>
      <c r="N270" s="385"/>
      <c r="O270" s="385"/>
    </row>
    <row r="271" spans="2:15" ht="15" customHeight="1" x14ac:dyDescent="0.25">
      <c r="B271" s="388"/>
      <c r="C271" s="390"/>
      <c r="F271" s="385"/>
      <c r="G271" s="385"/>
      <c r="H271" s="385"/>
      <c r="I271" s="385"/>
      <c r="J271" s="385"/>
      <c r="K271" s="385"/>
      <c r="L271" s="385"/>
      <c r="M271" s="385"/>
      <c r="N271" s="385"/>
      <c r="O271" s="385"/>
    </row>
    <row r="272" spans="2:15" ht="15" customHeight="1" x14ac:dyDescent="0.25">
      <c r="B272" s="389"/>
      <c r="C272" s="384"/>
      <c r="F272" s="385"/>
      <c r="G272" s="385"/>
      <c r="H272" s="385"/>
      <c r="I272" s="385"/>
      <c r="J272" s="385"/>
      <c r="K272" s="385"/>
      <c r="L272" s="385"/>
      <c r="M272" s="385"/>
      <c r="N272" s="385"/>
      <c r="O272" s="385"/>
    </row>
    <row r="273" spans="1:15" ht="15" customHeight="1" x14ac:dyDescent="0.25">
      <c r="B273" s="389"/>
      <c r="C273" s="384"/>
      <c r="F273" s="385"/>
      <c r="G273" s="385"/>
      <c r="H273" s="385"/>
      <c r="I273" s="385"/>
      <c r="J273" s="385"/>
      <c r="K273" s="385"/>
      <c r="L273" s="385"/>
      <c r="M273" s="385"/>
      <c r="N273" s="385"/>
      <c r="O273" s="385"/>
    </row>
    <row r="274" spans="1:15" ht="15" customHeight="1" x14ac:dyDescent="0.25">
      <c r="C274" s="390"/>
      <c r="F274" s="385"/>
      <c r="G274" s="385"/>
      <c r="H274" s="385"/>
      <c r="I274" s="385"/>
      <c r="J274" s="385"/>
      <c r="K274" s="385"/>
      <c r="L274" s="385"/>
      <c r="M274" s="385"/>
      <c r="N274" s="385"/>
      <c r="O274" s="385"/>
    </row>
    <row r="275" spans="1:15" ht="15" customHeight="1" x14ac:dyDescent="0.25">
      <c r="F275" s="385"/>
      <c r="G275" s="385"/>
      <c r="H275" s="385"/>
      <c r="I275" s="385"/>
      <c r="J275" s="385"/>
      <c r="K275" s="385"/>
      <c r="L275" s="385"/>
      <c r="M275" s="385"/>
      <c r="N275" s="385"/>
      <c r="O275" s="385"/>
    </row>
    <row r="276" spans="1:15" ht="15" customHeight="1" x14ac:dyDescent="0.25">
      <c r="M276" s="391"/>
      <c r="N276" s="391"/>
      <c r="O276" s="391"/>
    </row>
    <row r="277" spans="1:15" ht="15" customHeight="1" x14ac:dyDescent="0.25"/>
    <row r="278" spans="1:15" ht="15" customHeight="1" x14ac:dyDescent="0.25"/>
    <row r="279" spans="1:15" ht="15" customHeight="1" x14ac:dyDescent="0.25">
      <c r="A279" s="381"/>
      <c r="C279" s="381"/>
      <c r="D279" s="382"/>
    </row>
    <row r="280" spans="1:15" ht="15" customHeight="1" x14ac:dyDescent="0.25">
      <c r="B280" s="386"/>
      <c r="C280" s="384"/>
      <c r="D280" s="380"/>
      <c r="F280" s="385"/>
      <c r="G280" s="385"/>
      <c r="H280" s="385"/>
      <c r="I280" s="385"/>
      <c r="J280" s="385"/>
      <c r="K280" s="385"/>
      <c r="L280" s="385"/>
      <c r="M280" s="385"/>
      <c r="N280" s="385"/>
      <c r="O280" s="385"/>
    </row>
    <row r="281" spans="1:15" ht="15" customHeight="1" x14ac:dyDescent="0.25">
      <c r="B281" s="386"/>
      <c r="C281" s="384"/>
      <c r="D281" s="380"/>
      <c r="E281" s="380"/>
      <c r="F281" s="387"/>
      <c r="G281" s="387"/>
      <c r="H281" s="387"/>
      <c r="I281" s="387"/>
      <c r="J281" s="387"/>
      <c r="K281" s="387"/>
      <c r="L281" s="387"/>
      <c r="M281" s="387"/>
      <c r="N281" s="387"/>
      <c r="O281" s="387"/>
    </row>
    <row r="282" spans="1:15" ht="15" customHeight="1" x14ac:dyDescent="0.25">
      <c r="B282" s="386"/>
      <c r="C282" s="384"/>
      <c r="F282" s="385"/>
      <c r="G282" s="385"/>
      <c r="H282" s="385"/>
      <c r="I282" s="385"/>
      <c r="J282" s="385"/>
      <c r="K282" s="385"/>
      <c r="L282" s="385"/>
      <c r="M282" s="385"/>
      <c r="N282" s="385"/>
      <c r="O282" s="385"/>
    </row>
    <row r="283" spans="1:15" ht="15" customHeight="1" x14ac:dyDescent="0.25">
      <c r="B283" s="386"/>
      <c r="C283" s="384"/>
      <c r="F283" s="385"/>
      <c r="G283" s="385"/>
      <c r="H283" s="385"/>
      <c r="I283" s="385"/>
      <c r="J283" s="385"/>
      <c r="K283" s="385"/>
      <c r="L283" s="385"/>
      <c r="M283" s="385"/>
      <c r="N283" s="385"/>
      <c r="O283" s="385"/>
    </row>
    <row r="284" spans="1:15" ht="15" customHeight="1" x14ac:dyDescent="0.25">
      <c r="B284" s="386"/>
      <c r="C284" s="384"/>
      <c r="F284" s="385"/>
      <c r="G284" s="385"/>
      <c r="H284" s="385"/>
      <c r="I284" s="385"/>
      <c r="J284" s="385"/>
      <c r="K284" s="385"/>
      <c r="L284" s="385"/>
      <c r="M284" s="385"/>
      <c r="N284" s="385"/>
      <c r="O284" s="385"/>
    </row>
    <row r="285" spans="1:15" ht="15" customHeight="1" x14ac:dyDescent="0.25">
      <c r="B285" s="386"/>
      <c r="C285" s="384"/>
      <c r="F285" s="385"/>
      <c r="G285" s="385"/>
      <c r="H285" s="385"/>
      <c r="I285" s="385"/>
      <c r="J285" s="385"/>
      <c r="K285" s="385"/>
      <c r="L285" s="385"/>
      <c r="M285" s="385"/>
      <c r="N285" s="385"/>
      <c r="O285" s="385"/>
    </row>
    <row r="286" spans="1:15" ht="15" customHeight="1" x14ac:dyDescent="0.25">
      <c r="B286" s="388"/>
      <c r="C286" s="384"/>
      <c r="F286" s="385"/>
      <c r="G286" s="385"/>
      <c r="H286" s="385"/>
      <c r="I286" s="385"/>
      <c r="J286" s="385"/>
      <c r="K286" s="385"/>
      <c r="L286" s="385"/>
      <c r="M286" s="385"/>
      <c r="N286" s="385"/>
      <c r="O286" s="385"/>
    </row>
    <row r="287" spans="1:15" ht="15" customHeight="1" x14ac:dyDescent="0.25">
      <c r="C287" s="384"/>
      <c r="F287" s="385"/>
      <c r="G287" s="385"/>
      <c r="H287" s="385"/>
      <c r="I287" s="385"/>
      <c r="J287" s="385"/>
      <c r="K287" s="385"/>
      <c r="L287" s="385"/>
      <c r="M287" s="385"/>
      <c r="N287" s="385"/>
      <c r="O287" s="385"/>
    </row>
    <row r="288" spans="1:15" ht="15" customHeight="1" x14ac:dyDescent="0.25">
      <c r="B288" s="386"/>
      <c r="C288" s="384"/>
      <c r="F288" s="385"/>
      <c r="G288" s="385"/>
      <c r="H288" s="385"/>
      <c r="I288" s="385"/>
      <c r="J288" s="385"/>
      <c r="K288" s="385"/>
      <c r="L288" s="385"/>
      <c r="M288" s="385"/>
      <c r="N288" s="385"/>
      <c r="O288" s="385"/>
    </row>
    <row r="289" spans="2:15" ht="15" customHeight="1" x14ac:dyDescent="0.25">
      <c r="B289" s="386"/>
      <c r="C289" s="384"/>
      <c r="F289" s="385"/>
      <c r="G289" s="385"/>
      <c r="H289" s="385"/>
      <c r="I289" s="385"/>
      <c r="J289" s="385"/>
      <c r="K289" s="385"/>
      <c r="L289" s="385"/>
      <c r="M289" s="385"/>
      <c r="N289" s="385"/>
      <c r="O289" s="385"/>
    </row>
    <row r="290" spans="2:15" ht="15" customHeight="1" x14ac:dyDescent="0.25">
      <c r="B290" s="386"/>
      <c r="C290" s="384"/>
      <c r="F290" s="385"/>
      <c r="G290" s="385"/>
      <c r="H290" s="385"/>
      <c r="I290" s="385"/>
      <c r="J290" s="385"/>
      <c r="K290" s="385"/>
      <c r="L290" s="385"/>
      <c r="M290" s="385"/>
      <c r="N290" s="385"/>
      <c r="O290" s="385"/>
    </row>
    <row r="291" spans="2:15" ht="15" customHeight="1" x14ac:dyDescent="0.25">
      <c r="B291" s="386"/>
      <c r="C291" s="384"/>
      <c r="F291" s="385"/>
      <c r="G291" s="385"/>
      <c r="H291" s="385"/>
      <c r="I291" s="385"/>
      <c r="J291" s="385"/>
      <c r="K291" s="385"/>
      <c r="L291" s="385"/>
      <c r="M291" s="385"/>
      <c r="N291" s="385"/>
      <c r="O291" s="385"/>
    </row>
    <row r="292" spans="2:15" ht="15" customHeight="1" x14ac:dyDescent="0.25">
      <c r="C292" s="384"/>
      <c r="F292" s="385"/>
      <c r="G292" s="385"/>
      <c r="H292" s="385"/>
      <c r="I292" s="385"/>
      <c r="J292" s="385"/>
      <c r="K292" s="385"/>
      <c r="L292" s="385"/>
      <c r="M292" s="385"/>
      <c r="N292" s="385"/>
      <c r="O292" s="385"/>
    </row>
    <row r="293" spans="2:15" ht="15" customHeight="1" x14ac:dyDescent="0.25">
      <c r="B293" s="386"/>
      <c r="C293" s="384"/>
      <c r="F293" s="385"/>
      <c r="G293" s="385"/>
      <c r="H293" s="385"/>
      <c r="I293" s="385"/>
      <c r="J293" s="385"/>
      <c r="K293" s="385"/>
      <c r="L293" s="385"/>
      <c r="M293" s="385"/>
      <c r="N293" s="385"/>
      <c r="O293" s="385"/>
    </row>
    <row r="294" spans="2:15" ht="15" customHeight="1" x14ac:dyDescent="0.25">
      <c r="B294" s="386"/>
      <c r="C294" s="384"/>
      <c r="F294" s="385"/>
      <c r="G294" s="385"/>
      <c r="H294" s="385"/>
      <c r="I294" s="385"/>
      <c r="J294" s="385"/>
      <c r="K294" s="385"/>
      <c r="L294" s="385"/>
      <c r="M294" s="385"/>
      <c r="N294" s="385"/>
      <c r="O294" s="385"/>
    </row>
    <row r="295" spans="2:15" ht="15" customHeight="1" x14ac:dyDescent="0.25">
      <c r="B295" s="386"/>
      <c r="C295" s="384"/>
      <c r="F295" s="385"/>
      <c r="G295" s="385"/>
      <c r="H295" s="385"/>
      <c r="I295" s="385"/>
      <c r="J295" s="385"/>
      <c r="K295" s="385"/>
      <c r="L295" s="385"/>
      <c r="M295" s="385"/>
      <c r="N295" s="385"/>
      <c r="O295" s="385"/>
    </row>
    <row r="296" spans="2:15" ht="15" customHeight="1" x14ac:dyDescent="0.25">
      <c r="B296" s="388"/>
      <c r="C296" s="384"/>
      <c r="F296" s="385"/>
      <c r="G296" s="385"/>
      <c r="H296" s="385"/>
      <c r="I296" s="385"/>
      <c r="J296" s="385"/>
      <c r="K296" s="385"/>
      <c r="L296" s="385"/>
      <c r="M296" s="385"/>
      <c r="N296" s="385"/>
      <c r="O296" s="385"/>
    </row>
    <row r="297" spans="2:15" ht="15" customHeight="1" x14ac:dyDescent="0.25">
      <c r="B297" s="386"/>
      <c r="C297" s="384"/>
      <c r="F297" s="385"/>
      <c r="G297" s="385"/>
      <c r="H297" s="385"/>
      <c r="I297" s="385"/>
      <c r="J297" s="385"/>
      <c r="K297" s="385"/>
      <c r="L297" s="385"/>
      <c r="M297" s="385"/>
      <c r="N297" s="385"/>
      <c r="O297" s="385"/>
    </row>
    <row r="298" spans="2:15" ht="15" customHeight="1" x14ac:dyDescent="0.25">
      <c r="B298" s="386"/>
      <c r="C298" s="384"/>
      <c r="F298" s="385"/>
      <c r="G298" s="385"/>
      <c r="H298" s="385"/>
      <c r="I298" s="385"/>
      <c r="J298" s="385"/>
      <c r="K298" s="385"/>
      <c r="L298" s="385"/>
      <c r="M298" s="385"/>
      <c r="N298" s="385"/>
      <c r="O298" s="385"/>
    </row>
    <row r="299" spans="2:15" ht="15" customHeight="1" x14ac:dyDescent="0.25">
      <c r="B299" s="386"/>
      <c r="C299" s="384"/>
      <c r="F299" s="385"/>
      <c r="G299" s="385"/>
      <c r="H299" s="385"/>
      <c r="I299" s="385"/>
      <c r="J299" s="385"/>
      <c r="K299" s="385"/>
      <c r="L299" s="385"/>
      <c r="M299" s="385"/>
      <c r="N299" s="385"/>
      <c r="O299" s="385"/>
    </row>
    <row r="300" spans="2:15" ht="15" customHeight="1" x14ac:dyDescent="0.25">
      <c r="B300" s="386"/>
      <c r="C300" s="384"/>
      <c r="F300" s="385"/>
      <c r="G300" s="385"/>
      <c r="H300" s="385"/>
      <c r="I300" s="385"/>
      <c r="J300" s="385"/>
      <c r="K300" s="385"/>
      <c r="L300" s="385"/>
      <c r="M300" s="385"/>
      <c r="N300" s="385"/>
      <c r="O300" s="385"/>
    </row>
    <row r="301" spans="2:15" ht="15" customHeight="1" x14ac:dyDescent="0.25">
      <c r="B301" s="386"/>
      <c r="C301" s="384"/>
      <c r="F301" s="385"/>
      <c r="G301" s="385"/>
      <c r="H301" s="385"/>
      <c r="I301" s="385"/>
      <c r="J301" s="385"/>
      <c r="K301" s="385"/>
      <c r="L301" s="385"/>
      <c r="M301" s="385"/>
      <c r="N301" s="385"/>
      <c r="O301" s="385"/>
    </row>
    <row r="302" spans="2:15" ht="15" customHeight="1" x14ac:dyDescent="0.25">
      <c r="B302" s="386"/>
      <c r="C302" s="384"/>
      <c r="F302" s="385"/>
      <c r="G302" s="385"/>
      <c r="H302" s="385"/>
      <c r="I302" s="385"/>
      <c r="J302" s="385"/>
      <c r="K302" s="385"/>
      <c r="L302" s="385"/>
      <c r="M302" s="385"/>
      <c r="N302" s="385"/>
      <c r="O302" s="385"/>
    </row>
    <row r="303" spans="2:15" ht="15" customHeight="1" x14ac:dyDescent="0.25">
      <c r="B303" s="386"/>
      <c r="C303" s="384"/>
      <c r="F303" s="385"/>
      <c r="G303" s="385"/>
      <c r="H303" s="385"/>
      <c r="I303" s="385"/>
      <c r="J303" s="385"/>
      <c r="K303" s="385"/>
      <c r="L303" s="385"/>
      <c r="M303" s="385"/>
      <c r="N303" s="385"/>
      <c r="O303" s="385"/>
    </row>
    <row r="304" spans="2:15" ht="15" customHeight="1" x14ac:dyDescent="0.25">
      <c r="B304" s="386"/>
      <c r="C304" s="384"/>
      <c r="F304" s="385"/>
      <c r="G304" s="385"/>
      <c r="H304" s="385"/>
      <c r="I304" s="385"/>
      <c r="J304" s="385"/>
      <c r="K304" s="385"/>
      <c r="L304" s="385"/>
      <c r="M304" s="385"/>
      <c r="N304" s="385"/>
      <c r="O304" s="385"/>
    </row>
    <row r="305" spans="2:15" ht="15" customHeight="1" x14ac:dyDescent="0.25">
      <c r="B305" s="389"/>
      <c r="C305" s="384"/>
      <c r="F305" s="385"/>
      <c r="G305" s="385"/>
      <c r="H305" s="385"/>
      <c r="I305" s="385"/>
      <c r="J305" s="385"/>
      <c r="K305" s="385"/>
      <c r="L305" s="385"/>
      <c r="M305" s="385"/>
      <c r="N305" s="385"/>
      <c r="O305" s="385"/>
    </row>
    <row r="306" spans="2:15" ht="15" customHeight="1" x14ac:dyDescent="0.25">
      <c r="C306" s="384"/>
      <c r="F306" s="385"/>
      <c r="G306" s="385"/>
      <c r="H306" s="385"/>
      <c r="I306" s="385"/>
      <c r="J306" s="385"/>
      <c r="K306" s="385"/>
      <c r="L306" s="385"/>
      <c r="M306" s="385"/>
      <c r="N306" s="385"/>
      <c r="O306" s="385"/>
    </row>
    <row r="307" spans="2:15" ht="15" customHeight="1" x14ac:dyDescent="0.25">
      <c r="B307" s="389"/>
      <c r="C307" s="384"/>
      <c r="F307" s="385"/>
      <c r="G307" s="385"/>
      <c r="H307" s="385"/>
      <c r="I307" s="385"/>
      <c r="J307" s="385"/>
      <c r="K307" s="385"/>
      <c r="L307" s="385"/>
      <c r="M307" s="385"/>
      <c r="N307" s="385"/>
      <c r="O307" s="385"/>
    </row>
    <row r="308" spans="2:15" ht="15" customHeight="1" x14ac:dyDescent="0.25">
      <c r="C308" s="384"/>
      <c r="F308" s="385"/>
      <c r="G308" s="385"/>
      <c r="H308" s="385"/>
      <c r="I308" s="385"/>
      <c r="J308" s="385"/>
      <c r="K308" s="385"/>
      <c r="L308" s="385"/>
      <c r="M308" s="385"/>
      <c r="N308" s="385"/>
      <c r="O308" s="385"/>
    </row>
    <row r="309" spans="2:15" ht="15" customHeight="1" x14ac:dyDescent="0.25">
      <c r="B309" s="386"/>
      <c r="C309" s="384"/>
      <c r="F309" s="385"/>
      <c r="G309" s="385"/>
      <c r="H309" s="385"/>
      <c r="I309" s="385"/>
      <c r="J309" s="385"/>
      <c r="K309" s="385"/>
      <c r="L309" s="385"/>
      <c r="M309" s="385"/>
      <c r="N309" s="385"/>
      <c r="O309" s="385"/>
    </row>
    <row r="310" spans="2:15" ht="15" customHeight="1" x14ac:dyDescent="0.25">
      <c r="B310" s="386"/>
      <c r="C310" s="384"/>
      <c r="F310" s="385"/>
      <c r="G310" s="385"/>
      <c r="H310" s="385"/>
      <c r="I310" s="385"/>
      <c r="J310" s="385"/>
      <c r="K310" s="385"/>
      <c r="L310" s="385"/>
      <c r="M310" s="385"/>
      <c r="N310" s="385"/>
      <c r="O310" s="385"/>
    </row>
    <row r="311" spans="2:15" ht="15" customHeight="1" x14ac:dyDescent="0.25">
      <c r="B311" s="386"/>
      <c r="C311" s="384"/>
      <c r="F311" s="385"/>
      <c r="G311" s="385"/>
      <c r="H311" s="385"/>
      <c r="I311" s="385"/>
      <c r="J311" s="385"/>
      <c r="K311" s="385"/>
      <c r="L311" s="385"/>
      <c r="M311" s="385"/>
      <c r="N311" s="385"/>
      <c r="O311" s="385"/>
    </row>
    <row r="312" spans="2:15" ht="15" customHeight="1" x14ac:dyDescent="0.25">
      <c r="B312" s="389"/>
      <c r="C312" s="384"/>
      <c r="F312" s="385"/>
      <c r="G312" s="385"/>
      <c r="H312" s="385"/>
      <c r="I312" s="385"/>
      <c r="J312" s="385"/>
      <c r="K312" s="385"/>
      <c r="L312" s="385"/>
      <c r="M312" s="385"/>
      <c r="N312" s="385"/>
      <c r="O312" s="385"/>
    </row>
    <row r="313" spans="2:15" ht="15" customHeight="1" x14ac:dyDescent="0.25">
      <c r="C313" s="384"/>
      <c r="F313" s="385"/>
      <c r="G313" s="385"/>
      <c r="H313" s="385"/>
      <c r="I313" s="385"/>
      <c r="J313" s="385"/>
      <c r="K313" s="385"/>
      <c r="L313" s="385"/>
      <c r="M313" s="385"/>
      <c r="N313" s="385"/>
      <c r="O313" s="385"/>
    </row>
    <row r="314" spans="2:15" ht="15" customHeight="1" x14ac:dyDescent="0.25">
      <c r="B314" s="386"/>
      <c r="C314" s="384"/>
      <c r="F314" s="385"/>
      <c r="G314" s="385"/>
      <c r="H314" s="385"/>
      <c r="I314" s="385"/>
      <c r="J314" s="385"/>
      <c r="K314" s="385"/>
      <c r="L314" s="385"/>
      <c r="M314" s="385"/>
      <c r="N314" s="385"/>
      <c r="O314" s="385"/>
    </row>
    <row r="315" spans="2:15" ht="15" customHeight="1" x14ac:dyDescent="0.25">
      <c r="B315" s="386"/>
      <c r="C315" s="384"/>
      <c r="F315" s="385"/>
      <c r="G315" s="385"/>
      <c r="H315" s="385"/>
      <c r="I315" s="385"/>
      <c r="J315" s="385"/>
      <c r="K315" s="385"/>
      <c r="L315" s="385"/>
      <c r="M315" s="385"/>
      <c r="N315" s="385"/>
      <c r="O315" s="385"/>
    </row>
    <row r="316" spans="2:15" ht="15" customHeight="1" x14ac:dyDescent="0.25">
      <c r="B316" s="389"/>
      <c r="C316" s="384"/>
      <c r="F316" s="385"/>
      <c r="G316" s="385"/>
      <c r="H316" s="385"/>
      <c r="I316" s="385"/>
      <c r="J316" s="385"/>
      <c r="K316" s="385"/>
      <c r="L316" s="385"/>
      <c r="M316" s="385"/>
      <c r="N316" s="385"/>
      <c r="O316" s="385"/>
    </row>
    <row r="317" spans="2:15" ht="15" customHeight="1" x14ac:dyDescent="0.25">
      <c r="C317" s="384"/>
      <c r="F317" s="385"/>
      <c r="G317" s="385"/>
      <c r="H317" s="385"/>
      <c r="I317" s="385"/>
      <c r="J317" s="385"/>
      <c r="K317" s="385"/>
      <c r="L317" s="385"/>
      <c r="M317" s="385"/>
      <c r="N317" s="385"/>
      <c r="O317" s="385"/>
    </row>
    <row r="318" spans="2:15" ht="15" customHeight="1" x14ac:dyDescent="0.25">
      <c r="B318" s="388"/>
      <c r="C318" s="390"/>
      <c r="F318" s="385"/>
      <c r="G318" s="385"/>
      <c r="H318" s="385"/>
      <c r="I318" s="385"/>
      <c r="J318" s="385"/>
      <c r="K318" s="385"/>
      <c r="L318" s="385"/>
      <c r="M318" s="385"/>
      <c r="N318" s="385"/>
      <c r="O318" s="385"/>
    </row>
    <row r="319" spans="2:15" ht="15" customHeight="1" x14ac:dyDescent="0.25">
      <c r="B319" s="389"/>
      <c r="C319" s="384"/>
      <c r="F319" s="385"/>
      <c r="G319" s="385"/>
      <c r="H319" s="385"/>
      <c r="I319" s="385"/>
      <c r="J319" s="385"/>
      <c r="K319" s="385"/>
      <c r="L319" s="385"/>
      <c r="M319" s="385"/>
      <c r="N319" s="385"/>
      <c r="O319" s="385"/>
    </row>
    <row r="320" spans="2:15" ht="15" customHeight="1" x14ac:dyDescent="0.25">
      <c r="B320" s="389"/>
      <c r="C320" s="384"/>
      <c r="F320" s="385"/>
      <c r="G320" s="385"/>
      <c r="H320" s="385"/>
      <c r="I320" s="385"/>
      <c r="J320" s="385"/>
      <c r="K320" s="385"/>
      <c r="L320" s="385"/>
      <c r="M320" s="385"/>
      <c r="N320" s="385"/>
      <c r="O320" s="385"/>
    </row>
    <row r="321" spans="3:16" ht="15" customHeight="1" x14ac:dyDescent="0.25">
      <c r="C321" s="390"/>
      <c r="F321" s="385"/>
      <c r="G321" s="385"/>
      <c r="H321" s="385"/>
      <c r="I321" s="385"/>
      <c r="J321" s="385"/>
      <c r="K321" s="385"/>
      <c r="L321" s="385"/>
      <c r="M321" s="385"/>
      <c r="N321" s="385"/>
      <c r="O321" s="385"/>
    </row>
    <row r="322" spans="3:16" ht="15" customHeight="1" x14ac:dyDescent="0.25">
      <c r="F322" s="385"/>
      <c r="G322" s="385"/>
      <c r="H322" s="385"/>
      <c r="I322" s="385"/>
      <c r="J322" s="385"/>
      <c r="K322" s="385"/>
      <c r="L322" s="385"/>
      <c r="M322" s="385"/>
      <c r="N322" s="385"/>
      <c r="O322" s="385"/>
    </row>
    <row r="323" spans="3:16" ht="15" customHeight="1" x14ac:dyDescent="0.25">
      <c r="M323" s="391"/>
      <c r="N323" s="391"/>
      <c r="O323" s="391"/>
      <c r="P323" s="392"/>
    </row>
    <row r="324" spans="3:16" ht="15" customHeight="1" x14ac:dyDescent="0.25">
      <c r="M324" s="391"/>
      <c r="N324" s="391"/>
      <c r="O324" s="391"/>
      <c r="P324" s="392"/>
    </row>
    <row r="325" spans="3:16" ht="15" customHeight="1" x14ac:dyDescent="0.25">
      <c r="M325" s="391"/>
      <c r="N325" s="391"/>
      <c r="O325" s="391"/>
      <c r="P325" s="392"/>
    </row>
    <row r="326" spans="3:16" ht="15" customHeight="1" x14ac:dyDescent="0.25">
      <c r="M326" s="391"/>
      <c r="N326" s="391"/>
      <c r="O326" s="391"/>
      <c r="P326" s="392"/>
    </row>
    <row r="327" spans="3:16" ht="15" customHeight="1" x14ac:dyDescent="0.25">
      <c r="M327" s="391"/>
      <c r="N327" s="391"/>
      <c r="O327" s="391"/>
      <c r="P327" s="392"/>
    </row>
    <row r="328" spans="3:16" ht="15" customHeight="1" x14ac:dyDescent="0.25">
      <c r="M328" s="391"/>
      <c r="N328" s="391"/>
      <c r="O328" s="391"/>
    </row>
    <row r="329" spans="3:16" ht="15" customHeight="1" x14ac:dyDescent="0.25"/>
    <row r="330" spans="3:16" ht="15" customHeight="1" x14ac:dyDescent="0.25"/>
    <row r="331" spans="3:16" ht="15" customHeight="1" x14ac:dyDescent="0.25"/>
    <row r="332" spans="3:16" ht="15" customHeight="1" x14ac:dyDescent="0.25"/>
    <row r="333" spans="3:16" ht="15" customHeight="1" x14ac:dyDescent="0.25"/>
    <row r="334" spans="3:16" ht="15" customHeight="1" x14ac:dyDescent="0.25"/>
    <row r="335" spans="3:16" ht="15" customHeight="1" x14ac:dyDescent="0.25"/>
    <row r="336" spans="3:16" ht="15" customHeight="1" x14ac:dyDescent="0.25"/>
    <row r="337" ht="15" customHeight="1" x14ac:dyDescent="0.25"/>
    <row r="338" ht="15" customHeight="1" x14ac:dyDescent="0.25"/>
  </sheetData>
  <protectedRanges>
    <protectedRange sqref="K42:L62" name="Range1_1"/>
  </protectedRanges>
  <mergeCells count="12">
    <mergeCell ref="A42:D42"/>
    <mergeCell ref="F42:G42"/>
    <mergeCell ref="B9:B10"/>
    <mergeCell ref="C9:C10"/>
    <mergeCell ref="A4:G4"/>
    <mergeCell ref="A5:G5"/>
    <mergeCell ref="A6:G6"/>
    <mergeCell ref="A9:A10"/>
    <mergeCell ref="D9:D10"/>
    <mergeCell ref="F9:F10"/>
    <mergeCell ref="G9:G10"/>
    <mergeCell ref="A7:G7"/>
  </mergeCells>
  <hyperlinks>
    <hyperlink ref="H24" r:id="rId1"/>
  </hyperlinks>
  <pageMargins left="0.7" right="0.7" top="0.75" bottom="0.75" header="0.3" footer="0.3"/>
  <pageSetup paperSize="9" scale="59" fitToWidth="0" orientation="landscape"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theme="0" tint="-0.499984740745262"/>
    <pageSetUpPr fitToPage="1"/>
  </sheetPr>
  <dimension ref="A1:P326"/>
  <sheetViews>
    <sheetView view="pageBreakPreview" topLeftCell="A22" zoomScale="70" zoomScaleNormal="70" zoomScaleSheetLayoutView="70" workbookViewId="0">
      <selection activeCell="I23" sqref="I23"/>
    </sheetView>
  </sheetViews>
  <sheetFormatPr defaultColWidth="10.7109375" defaultRowHeight="12.75" x14ac:dyDescent="0.25"/>
  <cols>
    <col min="1" max="1" width="10.7109375" style="360" customWidth="1"/>
    <col min="2" max="2" width="38" style="373" customWidth="1"/>
    <col min="3" max="3" width="8.42578125" style="374" customWidth="1"/>
    <col min="4" max="4" width="15.7109375" style="375" customWidth="1"/>
    <col min="5" max="5" width="17.85546875" style="375" customWidth="1"/>
    <col min="6" max="6" width="31.85546875" style="360" hidden="1" customWidth="1"/>
    <col min="7" max="7" width="33.28515625" style="360" customWidth="1"/>
    <col min="8" max="255" width="10.7109375" style="360"/>
    <col min="256" max="256" width="13.140625" style="360" customWidth="1"/>
    <col min="257" max="257" width="38" style="360" customWidth="1"/>
    <col min="258" max="258" width="8.42578125" style="360" customWidth="1"/>
    <col min="259" max="259" width="15.7109375" style="360" customWidth="1"/>
    <col min="260" max="260" width="18.28515625" style="360" customWidth="1"/>
    <col min="261" max="261" width="17.85546875" style="360" customWidth="1"/>
    <col min="262" max="262" width="0" style="360" hidden="1" customWidth="1"/>
    <col min="263" max="263" width="33.28515625" style="360" customWidth="1"/>
    <col min="264" max="511" width="10.7109375" style="360"/>
    <col min="512" max="512" width="13.140625" style="360" customWidth="1"/>
    <col min="513" max="513" width="38" style="360" customWidth="1"/>
    <col min="514" max="514" width="8.42578125" style="360" customWidth="1"/>
    <col min="515" max="515" width="15.7109375" style="360" customWidth="1"/>
    <col min="516" max="516" width="18.28515625" style="360" customWidth="1"/>
    <col min="517" max="517" width="17.85546875" style="360" customWidth="1"/>
    <col min="518" max="518" width="0" style="360" hidden="1" customWidth="1"/>
    <col min="519" max="519" width="33.28515625" style="360" customWidth="1"/>
    <col min="520" max="767" width="10.7109375" style="360"/>
    <col min="768" max="768" width="13.140625" style="360" customWidth="1"/>
    <col min="769" max="769" width="38" style="360" customWidth="1"/>
    <col min="770" max="770" width="8.42578125" style="360" customWidth="1"/>
    <col min="771" max="771" width="15.7109375" style="360" customWidth="1"/>
    <col min="772" max="772" width="18.28515625" style="360" customWidth="1"/>
    <col min="773" max="773" width="17.85546875" style="360" customWidth="1"/>
    <col min="774" max="774" width="0" style="360" hidden="1" customWidth="1"/>
    <col min="775" max="775" width="33.28515625" style="360" customWidth="1"/>
    <col min="776" max="1023" width="10.7109375" style="360"/>
    <col min="1024" max="1024" width="13.140625" style="360" customWidth="1"/>
    <col min="1025" max="1025" width="38" style="360" customWidth="1"/>
    <col min="1026" max="1026" width="8.42578125" style="360" customWidth="1"/>
    <col min="1027" max="1027" width="15.7109375" style="360" customWidth="1"/>
    <col min="1028" max="1028" width="18.28515625" style="360" customWidth="1"/>
    <col min="1029" max="1029" width="17.85546875" style="360" customWidth="1"/>
    <col min="1030" max="1030" width="0" style="360" hidden="1" customWidth="1"/>
    <col min="1031" max="1031" width="33.28515625" style="360" customWidth="1"/>
    <col min="1032" max="1279" width="10.7109375" style="360"/>
    <col min="1280" max="1280" width="13.140625" style="360" customWidth="1"/>
    <col min="1281" max="1281" width="38" style="360" customWidth="1"/>
    <col min="1282" max="1282" width="8.42578125" style="360" customWidth="1"/>
    <col min="1283" max="1283" width="15.7109375" style="360" customWidth="1"/>
    <col min="1284" max="1284" width="18.28515625" style="360" customWidth="1"/>
    <col min="1285" max="1285" width="17.85546875" style="360" customWidth="1"/>
    <col min="1286" max="1286" width="0" style="360" hidden="1" customWidth="1"/>
    <col min="1287" max="1287" width="33.28515625" style="360" customWidth="1"/>
    <col min="1288" max="1535" width="10.7109375" style="360"/>
    <col min="1536" max="1536" width="13.140625" style="360" customWidth="1"/>
    <col min="1537" max="1537" width="38" style="360" customWidth="1"/>
    <col min="1538" max="1538" width="8.42578125" style="360" customWidth="1"/>
    <col min="1539" max="1539" width="15.7109375" style="360" customWidth="1"/>
    <col min="1540" max="1540" width="18.28515625" style="360" customWidth="1"/>
    <col min="1541" max="1541" width="17.85546875" style="360" customWidth="1"/>
    <col min="1542" max="1542" width="0" style="360" hidden="1" customWidth="1"/>
    <col min="1543" max="1543" width="33.28515625" style="360" customWidth="1"/>
    <col min="1544" max="1791" width="10.7109375" style="360"/>
    <col min="1792" max="1792" width="13.140625" style="360" customWidth="1"/>
    <col min="1793" max="1793" width="38" style="360" customWidth="1"/>
    <col min="1794" max="1794" width="8.42578125" style="360" customWidth="1"/>
    <col min="1795" max="1795" width="15.7109375" style="360" customWidth="1"/>
    <col min="1796" max="1796" width="18.28515625" style="360" customWidth="1"/>
    <col min="1797" max="1797" width="17.85546875" style="360" customWidth="1"/>
    <col min="1798" max="1798" width="0" style="360" hidden="1" customWidth="1"/>
    <col min="1799" max="1799" width="33.28515625" style="360" customWidth="1"/>
    <col min="1800" max="2047" width="10.7109375" style="360"/>
    <col min="2048" max="2048" width="13.140625" style="360" customWidth="1"/>
    <col min="2049" max="2049" width="38" style="360" customWidth="1"/>
    <col min="2050" max="2050" width="8.42578125" style="360" customWidth="1"/>
    <col min="2051" max="2051" width="15.7109375" style="360" customWidth="1"/>
    <col min="2052" max="2052" width="18.28515625" style="360" customWidth="1"/>
    <col min="2053" max="2053" width="17.85546875" style="360" customWidth="1"/>
    <col min="2054" max="2054" width="0" style="360" hidden="1" customWidth="1"/>
    <col min="2055" max="2055" width="33.28515625" style="360" customWidth="1"/>
    <col min="2056" max="2303" width="10.7109375" style="360"/>
    <col min="2304" max="2304" width="13.140625" style="360" customWidth="1"/>
    <col min="2305" max="2305" width="38" style="360" customWidth="1"/>
    <col min="2306" max="2306" width="8.42578125" style="360" customWidth="1"/>
    <col min="2307" max="2307" width="15.7109375" style="360" customWidth="1"/>
    <col min="2308" max="2308" width="18.28515625" style="360" customWidth="1"/>
    <col min="2309" max="2309" width="17.85546875" style="360" customWidth="1"/>
    <col min="2310" max="2310" width="0" style="360" hidden="1" customWidth="1"/>
    <col min="2311" max="2311" width="33.28515625" style="360" customWidth="1"/>
    <col min="2312" max="2559" width="10.7109375" style="360"/>
    <col min="2560" max="2560" width="13.140625" style="360" customWidth="1"/>
    <col min="2561" max="2561" width="38" style="360" customWidth="1"/>
    <col min="2562" max="2562" width="8.42578125" style="360" customWidth="1"/>
    <col min="2563" max="2563" width="15.7109375" style="360" customWidth="1"/>
    <col min="2564" max="2564" width="18.28515625" style="360" customWidth="1"/>
    <col min="2565" max="2565" width="17.85546875" style="360" customWidth="1"/>
    <col min="2566" max="2566" width="0" style="360" hidden="1" customWidth="1"/>
    <col min="2567" max="2567" width="33.28515625" style="360" customWidth="1"/>
    <col min="2568" max="2815" width="10.7109375" style="360"/>
    <col min="2816" max="2816" width="13.140625" style="360" customWidth="1"/>
    <col min="2817" max="2817" width="38" style="360" customWidth="1"/>
    <col min="2818" max="2818" width="8.42578125" style="360" customWidth="1"/>
    <col min="2819" max="2819" width="15.7109375" style="360" customWidth="1"/>
    <col min="2820" max="2820" width="18.28515625" style="360" customWidth="1"/>
    <col min="2821" max="2821" width="17.85546875" style="360" customWidth="1"/>
    <col min="2822" max="2822" width="0" style="360" hidden="1" customWidth="1"/>
    <col min="2823" max="2823" width="33.28515625" style="360" customWidth="1"/>
    <col min="2824" max="3071" width="10.7109375" style="360"/>
    <col min="3072" max="3072" width="13.140625" style="360" customWidth="1"/>
    <col min="3073" max="3073" width="38" style="360" customWidth="1"/>
    <col min="3074" max="3074" width="8.42578125" style="360" customWidth="1"/>
    <col min="3075" max="3075" width="15.7109375" style="360" customWidth="1"/>
    <col min="3076" max="3076" width="18.28515625" style="360" customWidth="1"/>
    <col min="3077" max="3077" width="17.85546875" style="360" customWidth="1"/>
    <col min="3078" max="3078" width="0" style="360" hidden="1" customWidth="1"/>
    <col min="3079" max="3079" width="33.28515625" style="360" customWidth="1"/>
    <col min="3080" max="3327" width="10.7109375" style="360"/>
    <col min="3328" max="3328" width="13.140625" style="360" customWidth="1"/>
    <col min="3329" max="3329" width="38" style="360" customWidth="1"/>
    <col min="3330" max="3330" width="8.42578125" style="360" customWidth="1"/>
    <col min="3331" max="3331" width="15.7109375" style="360" customWidth="1"/>
    <col min="3332" max="3332" width="18.28515625" style="360" customWidth="1"/>
    <col min="3333" max="3333" width="17.85546875" style="360" customWidth="1"/>
    <col min="3334" max="3334" width="0" style="360" hidden="1" customWidth="1"/>
    <col min="3335" max="3335" width="33.28515625" style="360" customWidth="1"/>
    <col min="3336" max="3583" width="10.7109375" style="360"/>
    <col min="3584" max="3584" width="13.140625" style="360" customWidth="1"/>
    <col min="3585" max="3585" width="38" style="360" customWidth="1"/>
    <col min="3586" max="3586" width="8.42578125" style="360" customWidth="1"/>
    <col min="3587" max="3587" width="15.7109375" style="360" customWidth="1"/>
    <col min="3588" max="3588" width="18.28515625" style="360" customWidth="1"/>
    <col min="3589" max="3589" width="17.85546875" style="360" customWidth="1"/>
    <col min="3590" max="3590" width="0" style="360" hidden="1" customWidth="1"/>
    <col min="3591" max="3591" width="33.28515625" style="360" customWidth="1"/>
    <col min="3592" max="3839" width="10.7109375" style="360"/>
    <col min="3840" max="3840" width="13.140625" style="360" customWidth="1"/>
    <col min="3841" max="3841" width="38" style="360" customWidth="1"/>
    <col min="3842" max="3842" width="8.42578125" style="360" customWidth="1"/>
    <col min="3843" max="3843" width="15.7109375" style="360" customWidth="1"/>
    <col min="3844" max="3844" width="18.28515625" style="360" customWidth="1"/>
    <col min="3845" max="3845" width="17.85546875" style="360" customWidth="1"/>
    <col min="3846" max="3846" width="0" style="360" hidden="1" customWidth="1"/>
    <col min="3847" max="3847" width="33.28515625" style="360" customWidth="1"/>
    <col min="3848" max="4095" width="10.7109375" style="360"/>
    <col min="4096" max="4096" width="13.140625" style="360" customWidth="1"/>
    <col min="4097" max="4097" width="38" style="360" customWidth="1"/>
    <col min="4098" max="4098" width="8.42578125" style="360" customWidth="1"/>
    <col min="4099" max="4099" width="15.7109375" style="360" customWidth="1"/>
    <col min="4100" max="4100" width="18.28515625" style="360" customWidth="1"/>
    <col min="4101" max="4101" width="17.85546875" style="360" customWidth="1"/>
    <col min="4102" max="4102" width="0" style="360" hidden="1" customWidth="1"/>
    <col min="4103" max="4103" width="33.28515625" style="360" customWidth="1"/>
    <col min="4104" max="4351" width="10.7109375" style="360"/>
    <col min="4352" max="4352" width="13.140625" style="360" customWidth="1"/>
    <col min="4353" max="4353" width="38" style="360" customWidth="1"/>
    <col min="4354" max="4354" width="8.42578125" style="360" customWidth="1"/>
    <col min="4355" max="4355" width="15.7109375" style="360" customWidth="1"/>
    <col min="4356" max="4356" width="18.28515625" style="360" customWidth="1"/>
    <col min="4357" max="4357" width="17.85546875" style="360" customWidth="1"/>
    <col min="4358" max="4358" width="0" style="360" hidden="1" customWidth="1"/>
    <col min="4359" max="4359" width="33.28515625" style="360" customWidth="1"/>
    <col min="4360" max="4607" width="10.7109375" style="360"/>
    <col min="4608" max="4608" width="13.140625" style="360" customWidth="1"/>
    <col min="4609" max="4609" width="38" style="360" customWidth="1"/>
    <col min="4610" max="4610" width="8.42578125" style="360" customWidth="1"/>
    <col min="4611" max="4611" width="15.7109375" style="360" customWidth="1"/>
    <col min="4612" max="4612" width="18.28515625" style="360" customWidth="1"/>
    <col min="4613" max="4613" width="17.85546875" style="360" customWidth="1"/>
    <col min="4614" max="4614" width="0" style="360" hidden="1" customWidth="1"/>
    <col min="4615" max="4615" width="33.28515625" style="360" customWidth="1"/>
    <col min="4616" max="4863" width="10.7109375" style="360"/>
    <col min="4864" max="4864" width="13.140625" style="360" customWidth="1"/>
    <col min="4865" max="4865" width="38" style="360" customWidth="1"/>
    <col min="4866" max="4866" width="8.42578125" style="360" customWidth="1"/>
    <col min="4867" max="4867" width="15.7109375" style="360" customWidth="1"/>
    <col min="4868" max="4868" width="18.28515625" style="360" customWidth="1"/>
    <col min="4869" max="4869" width="17.85546875" style="360" customWidth="1"/>
    <col min="4870" max="4870" width="0" style="360" hidden="1" customWidth="1"/>
    <col min="4871" max="4871" width="33.28515625" style="360" customWidth="1"/>
    <col min="4872" max="5119" width="10.7109375" style="360"/>
    <col min="5120" max="5120" width="13.140625" style="360" customWidth="1"/>
    <col min="5121" max="5121" width="38" style="360" customWidth="1"/>
    <col min="5122" max="5122" width="8.42578125" style="360" customWidth="1"/>
    <col min="5123" max="5123" width="15.7109375" style="360" customWidth="1"/>
    <col min="5124" max="5124" width="18.28515625" style="360" customWidth="1"/>
    <col min="5125" max="5125" width="17.85546875" style="360" customWidth="1"/>
    <col min="5126" max="5126" width="0" style="360" hidden="1" customWidth="1"/>
    <col min="5127" max="5127" width="33.28515625" style="360" customWidth="1"/>
    <col min="5128" max="5375" width="10.7109375" style="360"/>
    <col min="5376" max="5376" width="13.140625" style="360" customWidth="1"/>
    <col min="5377" max="5377" width="38" style="360" customWidth="1"/>
    <col min="5378" max="5378" width="8.42578125" style="360" customWidth="1"/>
    <col min="5379" max="5379" width="15.7109375" style="360" customWidth="1"/>
    <col min="5380" max="5380" width="18.28515625" style="360" customWidth="1"/>
    <col min="5381" max="5381" width="17.85546875" style="360" customWidth="1"/>
    <col min="5382" max="5382" width="0" style="360" hidden="1" customWidth="1"/>
    <col min="5383" max="5383" width="33.28515625" style="360" customWidth="1"/>
    <col min="5384" max="5631" width="10.7109375" style="360"/>
    <col min="5632" max="5632" width="13.140625" style="360" customWidth="1"/>
    <col min="5633" max="5633" width="38" style="360" customWidth="1"/>
    <col min="5634" max="5634" width="8.42578125" style="360" customWidth="1"/>
    <col min="5635" max="5635" width="15.7109375" style="360" customWidth="1"/>
    <col min="5636" max="5636" width="18.28515625" style="360" customWidth="1"/>
    <col min="5637" max="5637" width="17.85546875" style="360" customWidth="1"/>
    <col min="5638" max="5638" width="0" style="360" hidden="1" customWidth="1"/>
    <col min="5639" max="5639" width="33.28515625" style="360" customWidth="1"/>
    <col min="5640" max="5887" width="10.7109375" style="360"/>
    <col min="5888" max="5888" width="13.140625" style="360" customWidth="1"/>
    <col min="5889" max="5889" width="38" style="360" customWidth="1"/>
    <col min="5890" max="5890" width="8.42578125" style="360" customWidth="1"/>
    <col min="5891" max="5891" width="15.7109375" style="360" customWidth="1"/>
    <col min="5892" max="5892" width="18.28515625" style="360" customWidth="1"/>
    <col min="5893" max="5893" width="17.85546875" style="360" customWidth="1"/>
    <col min="5894" max="5894" width="0" style="360" hidden="1" customWidth="1"/>
    <col min="5895" max="5895" width="33.28515625" style="360" customWidth="1"/>
    <col min="5896" max="6143" width="10.7109375" style="360"/>
    <col min="6144" max="6144" width="13.140625" style="360" customWidth="1"/>
    <col min="6145" max="6145" width="38" style="360" customWidth="1"/>
    <col min="6146" max="6146" width="8.42578125" style="360" customWidth="1"/>
    <col min="6147" max="6147" width="15.7109375" style="360" customWidth="1"/>
    <col min="6148" max="6148" width="18.28515625" style="360" customWidth="1"/>
    <col min="6149" max="6149" width="17.85546875" style="360" customWidth="1"/>
    <col min="6150" max="6150" width="0" style="360" hidden="1" customWidth="1"/>
    <col min="6151" max="6151" width="33.28515625" style="360" customWidth="1"/>
    <col min="6152" max="6399" width="10.7109375" style="360"/>
    <col min="6400" max="6400" width="13.140625" style="360" customWidth="1"/>
    <col min="6401" max="6401" width="38" style="360" customWidth="1"/>
    <col min="6402" max="6402" width="8.42578125" style="360" customWidth="1"/>
    <col min="6403" max="6403" width="15.7109375" style="360" customWidth="1"/>
    <col min="6404" max="6404" width="18.28515625" style="360" customWidth="1"/>
    <col min="6405" max="6405" width="17.85546875" style="360" customWidth="1"/>
    <col min="6406" max="6406" width="0" style="360" hidden="1" customWidth="1"/>
    <col min="6407" max="6407" width="33.28515625" style="360" customWidth="1"/>
    <col min="6408" max="6655" width="10.7109375" style="360"/>
    <col min="6656" max="6656" width="13.140625" style="360" customWidth="1"/>
    <col min="6657" max="6657" width="38" style="360" customWidth="1"/>
    <col min="6658" max="6658" width="8.42578125" style="360" customWidth="1"/>
    <col min="6659" max="6659" width="15.7109375" style="360" customWidth="1"/>
    <col min="6660" max="6660" width="18.28515625" style="360" customWidth="1"/>
    <col min="6661" max="6661" width="17.85546875" style="360" customWidth="1"/>
    <col min="6662" max="6662" width="0" style="360" hidden="1" customWidth="1"/>
    <col min="6663" max="6663" width="33.28515625" style="360" customWidth="1"/>
    <col min="6664" max="6911" width="10.7109375" style="360"/>
    <col min="6912" max="6912" width="13.140625" style="360" customWidth="1"/>
    <col min="6913" max="6913" width="38" style="360" customWidth="1"/>
    <col min="6914" max="6914" width="8.42578125" style="360" customWidth="1"/>
    <col min="6915" max="6915" width="15.7109375" style="360" customWidth="1"/>
    <col min="6916" max="6916" width="18.28515625" style="360" customWidth="1"/>
    <col min="6917" max="6917" width="17.85546875" style="360" customWidth="1"/>
    <col min="6918" max="6918" width="0" style="360" hidden="1" customWidth="1"/>
    <col min="6919" max="6919" width="33.28515625" style="360" customWidth="1"/>
    <col min="6920" max="7167" width="10.7109375" style="360"/>
    <col min="7168" max="7168" width="13.140625" style="360" customWidth="1"/>
    <col min="7169" max="7169" width="38" style="360" customWidth="1"/>
    <col min="7170" max="7170" width="8.42578125" style="360" customWidth="1"/>
    <col min="7171" max="7171" width="15.7109375" style="360" customWidth="1"/>
    <col min="7172" max="7172" width="18.28515625" style="360" customWidth="1"/>
    <col min="7173" max="7173" width="17.85546875" style="360" customWidth="1"/>
    <col min="7174" max="7174" width="0" style="360" hidden="1" customWidth="1"/>
    <col min="7175" max="7175" width="33.28515625" style="360" customWidth="1"/>
    <col min="7176" max="7423" width="10.7109375" style="360"/>
    <col min="7424" max="7424" width="13.140625" style="360" customWidth="1"/>
    <col min="7425" max="7425" width="38" style="360" customWidth="1"/>
    <col min="7426" max="7426" width="8.42578125" style="360" customWidth="1"/>
    <col min="7427" max="7427" width="15.7109375" style="360" customWidth="1"/>
    <col min="7428" max="7428" width="18.28515625" style="360" customWidth="1"/>
    <col min="7429" max="7429" width="17.85546875" style="360" customWidth="1"/>
    <col min="7430" max="7430" width="0" style="360" hidden="1" customWidth="1"/>
    <col min="7431" max="7431" width="33.28515625" style="360" customWidth="1"/>
    <col min="7432" max="7679" width="10.7109375" style="360"/>
    <col min="7680" max="7680" width="13.140625" style="360" customWidth="1"/>
    <col min="7681" max="7681" width="38" style="360" customWidth="1"/>
    <col min="7682" max="7682" width="8.42578125" style="360" customWidth="1"/>
    <col min="7683" max="7683" width="15.7109375" style="360" customWidth="1"/>
    <col min="7684" max="7684" width="18.28515625" style="360" customWidth="1"/>
    <col min="7685" max="7685" width="17.85546875" style="360" customWidth="1"/>
    <col min="7686" max="7686" width="0" style="360" hidden="1" customWidth="1"/>
    <col min="7687" max="7687" width="33.28515625" style="360" customWidth="1"/>
    <col min="7688" max="7935" width="10.7109375" style="360"/>
    <col min="7936" max="7936" width="13.140625" style="360" customWidth="1"/>
    <col min="7937" max="7937" width="38" style="360" customWidth="1"/>
    <col min="7938" max="7938" width="8.42578125" style="360" customWidth="1"/>
    <col min="7939" max="7939" width="15.7109375" style="360" customWidth="1"/>
    <col min="7940" max="7940" width="18.28515625" style="360" customWidth="1"/>
    <col min="7941" max="7941" width="17.85546875" style="360" customWidth="1"/>
    <col min="7942" max="7942" width="0" style="360" hidden="1" customWidth="1"/>
    <col min="7943" max="7943" width="33.28515625" style="360" customWidth="1"/>
    <col min="7944" max="8191" width="10.7109375" style="360"/>
    <col min="8192" max="8192" width="13.140625" style="360" customWidth="1"/>
    <col min="8193" max="8193" width="38" style="360" customWidth="1"/>
    <col min="8194" max="8194" width="8.42578125" style="360" customWidth="1"/>
    <col min="8195" max="8195" width="15.7109375" style="360" customWidth="1"/>
    <col min="8196" max="8196" width="18.28515625" style="360" customWidth="1"/>
    <col min="8197" max="8197" width="17.85546875" style="360" customWidth="1"/>
    <col min="8198" max="8198" width="0" style="360" hidden="1" customWidth="1"/>
    <col min="8199" max="8199" width="33.28515625" style="360" customWidth="1"/>
    <col min="8200" max="8447" width="10.7109375" style="360"/>
    <col min="8448" max="8448" width="13.140625" style="360" customWidth="1"/>
    <col min="8449" max="8449" width="38" style="360" customWidth="1"/>
    <col min="8450" max="8450" width="8.42578125" style="360" customWidth="1"/>
    <col min="8451" max="8451" width="15.7109375" style="360" customWidth="1"/>
    <col min="8452" max="8452" width="18.28515625" style="360" customWidth="1"/>
    <col min="8453" max="8453" width="17.85546875" style="360" customWidth="1"/>
    <col min="8454" max="8454" width="0" style="360" hidden="1" customWidth="1"/>
    <col min="8455" max="8455" width="33.28515625" style="360" customWidth="1"/>
    <col min="8456" max="8703" width="10.7109375" style="360"/>
    <col min="8704" max="8704" width="13.140625" style="360" customWidth="1"/>
    <col min="8705" max="8705" width="38" style="360" customWidth="1"/>
    <col min="8706" max="8706" width="8.42578125" style="360" customWidth="1"/>
    <col min="8707" max="8707" width="15.7109375" style="360" customWidth="1"/>
    <col min="8708" max="8708" width="18.28515625" style="360" customWidth="1"/>
    <col min="8709" max="8709" width="17.85546875" style="360" customWidth="1"/>
    <col min="8710" max="8710" width="0" style="360" hidden="1" customWidth="1"/>
    <col min="8711" max="8711" width="33.28515625" style="360" customWidth="1"/>
    <col min="8712" max="8959" width="10.7109375" style="360"/>
    <col min="8960" max="8960" width="13.140625" style="360" customWidth="1"/>
    <col min="8961" max="8961" width="38" style="360" customWidth="1"/>
    <col min="8962" max="8962" width="8.42578125" style="360" customWidth="1"/>
    <col min="8963" max="8963" width="15.7109375" style="360" customWidth="1"/>
    <col min="8964" max="8964" width="18.28515625" style="360" customWidth="1"/>
    <col min="8965" max="8965" width="17.85546875" style="360" customWidth="1"/>
    <col min="8966" max="8966" width="0" style="360" hidden="1" customWidth="1"/>
    <col min="8967" max="8967" width="33.28515625" style="360" customWidth="1"/>
    <col min="8968" max="9215" width="10.7109375" style="360"/>
    <col min="9216" max="9216" width="13.140625" style="360" customWidth="1"/>
    <col min="9217" max="9217" width="38" style="360" customWidth="1"/>
    <col min="9218" max="9218" width="8.42578125" style="360" customWidth="1"/>
    <col min="9219" max="9219" width="15.7109375" style="360" customWidth="1"/>
    <col min="9220" max="9220" width="18.28515625" style="360" customWidth="1"/>
    <col min="9221" max="9221" width="17.85546875" style="360" customWidth="1"/>
    <col min="9222" max="9222" width="0" style="360" hidden="1" customWidth="1"/>
    <col min="9223" max="9223" width="33.28515625" style="360" customWidth="1"/>
    <col min="9224" max="9471" width="10.7109375" style="360"/>
    <col min="9472" max="9472" width="13.140625" style="360" customWidth="1"/>
    <col min="9473" max="9473" width="38" style="360" customWidth="1"/>
    <col min="9474" max="9474" width="8.42578125" style="360" customWidth="1"/>
    <col min="9475" max="9475" width="15.7109375" style="360" customWidth="1"/>
    <col min="9476" max="9476" width="18.28515625" style="360" customWidth="1"/>
    <col min="9477" max="9477" width="17.85546875" style="360" customWidth="1"/>
    <col min="9478" max="9478" width="0" style="360" hidden="1" customWidth="1"/>
    <col min="9479" max="9479" width="33.28515625" style="360" customWidth="1"/>
    <col min="9480" max="9727" width="10.7109375" style="360"/>
    <col min="9728" max="9728" width="13.140625" style="360" customWidth="1"/>
    <col min="9729" max="9729" width="38" style="360" customWidth="1"/>
    <col min="9730" max="9730" width="8.42578125" style="360" customWidth="1"/>
    <col min="9731" max="9731" width="15.7109375" style="360" customWidth="1"/>
    <col min="9732" max="9732" width="18.28515625" style="360" customWidth="1"/>
    <col min="9733" max="9733" width="17.85546875" style="360" customWidth="1"/>
    <col min="9734" max="9734" width="0" style="360" hidden="1" customWidth="1"/>
    <col min="9735" max="9735" width="33.28515625" style="360" customWidth="1"/>
    <col min="9736" max="9983" width="10.7109375" style="360"/>
    <col min="9984" max="9984" width="13.140625" style="360" customWidth="1"/>
    <col min="9985" max="9985" width="38" style="360" customWidth="1"/>
    <col min="9986" max="9986" width="8.42578125" style="360" customWidth="1"/>
    <col min="9987" max="9987" width="15.7109375" style="360" customWidth="1"/>
    <col min="9988" max="9988" width="18.28515625" style="360" customWidth="1"/>
    <col min="9989" max="9989" width="17.85546875" style="360" customWidth="1"/>
    <col min="9990" max="9990" width="0" style="360" hidden="1" customWidth="1"/>
    <col min="9991" max="9991" width="33.28515625" style="360" customWidth="1"/>
    <col min="9992" max="10239" width="10.7109375" style="360"/>
    <col min="10240" max="10240" width="13.140625" style="360" customWidth="1"/>
    <col min="10241" max="10241" width="38" style="360" customWidth="1"/>
    <col min="10242" max="10242" width="8.42578125" style="360" customWidth="1"/>
    <col min="10243" max="10243" width="15.7109375" style="360" customWidth="1"/>
    <col min="10244" max="10244" width="18.28515625" style="360" customWidth="1"/>
    <col min="10245" max="10245" width="17.85546875" style="360" customWidth="1"/>
    <col min="10246" max="10246" width="0" style="360" hidden="1" customWidth="1"/>
    <col min="10247" max="10247" width="33.28515625" style="360" customWidth="1"/>
    <col min="10248" max="10495" width="10.7109375" style="360"/>
    <col min="10496" max="10496" width="13.140625" style="360" customWidth="1"/>
    <col min="10497" max="10497" width="38" style="360" customWidth="1"/>
    <col min="10498" max="10498" width="8.42578125" style="360" customWidth="1"/>
    <col min="10499" max="10499" width="15.7109375" style="360" customWidth="1"/>
    <col min="10500" max="10500" width="18.28515625" style="360" customWidth="1"/>
    <col min="10501" max="10501" width="17.85546875" style="360" customWidth="1"/>
    <col min="10502" max="10502" width="0" style="360" hidden="1" customWidth="1"/>
    <col min="10503" max="10503" width="33.28515625" style="360" customWidth="1"/>
    <col min="10504" max="10751" width="10.7109375" style="360"/>
    <col min="10752" max="10752" width="13.140625" style="360" customWidth="1"/>
    <col min="10753" max="10753" width="38" style="360" customWidth="1"/>
    <col min="10754" max="10754" width="8.42578125" style="360" customWidth="1"/>
    <col min="10755" max="10755" width="15.7109375" style="360" customWidth="1"/>
    <col min="10756" max="10756" width="18.28515625" style="360" customWidth="1"/>
    <col min="10757" max="10757" width="17.85546875" style="360" customWidth="1"/>
    <col min="10758" max="10758" width="0" style="360" hidden="1" customWidth="1"/>
    <col min="10759" max="10759" width="33.28515625" style="360" customWidth="1"/>
    <col min="10760" max="11007" width="10.7109375" style="360"/>
    <col min="11008" max="11008" width="13.140625" style="360" customWidth="1"/>
    <col min="11009" max="11009" width="38" style="360" customWidth="1"/>
    <col min="11010" max="11010" width="8.42578125" style="360" customWidth="1"/>
    <col min="11011" max="11011" width="15.7109375" style="360" customWidth="1"/>
    <col min="11012" max="11012" width="18.28515625" style="360" customWidth="1"/>
    <col min="11013" max="11013" width="17.85546875" style="360" customWidth="1"/>
    <col min="11014" max="11014" width="0" style="360" hidden="1" customWidth="1"/>
    <col min="11015" max="11015" width="33.28515625" style="360" customWidth="1"/>
    <col min="11016" max="11263" width="10.7109375" style="360"/>
    <col min="11264" max="11264" width="13.140625" style="360" customWidth="1"/>
    <col min="11265" max="11265" width="38" style="360" customWidth="1"/>
    <col min="11266" max="11266" width="8.42578125" style="360" customWidth="1"/>
    <col min="11267" max="11267" width="15.7109375" style="360" customWidth="1"/>
    <col min="11268" max="11268" width="18.28515625" style="360" customWidth="1"/>
    <col min="11269" max="11269" width="17.85546875" style="360" customWidth="1"/>
    <col min="11270" max="11270" width="0" style="360" hidden="1" customWidth="1"/>
    <col min="11271" max="11271" width="33.28515625" style="360" customWidth="1"/>
    <col min="11272" max="11519" width="10.7109375" style="360"/>
    <col min="11520" max="11520" width="13.140625" style="360" customWidth="1"/>
    <col min="11521" max="11521" width="38" style="360" customWidth="1"/>
    <col min="11522" max="11522" width="8.42578125" style="360" customWidth="1"/>
    <col min="11523" max="11523" width="15.7109375" style="360" customWidth="1"/>
    <col min="11524" max="11524" width="18.28515625" style="360" customWidth="1"/>
    <col min="11525" max="11525" width="17.85546875" style="360" customWidth="1"/>
    <col min="11526" max="11526" width="0" style="360" hidden="1" customWidth="1"/>
    <col min="11527" max="11527" width="33.28515625" style="360" customWidth="1"/>
    <col min="11528" max="11775" width="10.7109375" style="360"/>
    <col min="11776" max="11776" width="13.140625" style="360" customWidth="1"/>
    <col min="11777" max="11777" width="38" style="360" customWidth="1"/>
    <col min="11778" max="11778" width="8.42578125" style="360" customWidth="1"/>
    <col min="11779" max="11779" width="15.7109375" style="360" customWidth="1"/>
    <col min="11780" max="11780" width="18.28515625" style="360" customWidth="1"/>
    <col min="11781" max="11781" width="17.85546875" style="360" customWidth="1"/>
    <col min="11782" max="11782" width="0" style="360" hidden="1" customWidth="1"/>
    <col min="11783" max="11783" width="33.28515625" style="360" customWidth="1"/>
    <col min="11784" max="12031" width="10.7109375" style="360"/>
    <col min="12032" max="12032" width="13.140625" style="360" customWidth="1"/>
    <col min="12033" max="12033" width="38" style="360" customWidth="1"/>
    <col min="12034" max="12034" width="8.42578125" style="360" customWidth="1"/>
    <col min="12035" max="12035" width="15.7109375" style="360" customWidth="1"/>
    <col min="12036" max="12036" width="18.28515625" style="360" customWidth="1"/>
    <col min="12037" max="12037" width="17.85546875" style="360" customWidth="1"/>
    <col min="12038" max="12038" width="0" style="360" hidden="1" customWidth="1"/>
    <col min="12039" max="12039" width="33.28515625" style="360" customWidth="1"/>
    <col min="12040" max="12287" width="10.7109375" style="360"/>
    <col min="12288" max="12288" width="13.140625" style="360" customWidth="1"/>
    <col min="12289" max="12289" width="38" style="360" customWidth="1"/>
    <col min="12290" max="12290" width="8.42578125" style="360" customWidth="1"/>
    <col min="12291" max="12291" width="15.7109375" style="360" customWidth="1"/>
    <col min="12292" max="12292" width="18.28515625" style="360" customWidth="1"/>
    <col min="12293" max="12293" width="17.85546875" style="360" customWidth="1"/>
    <col min="12294" max="12294" width="0" style="360" hidden="1" customWidth="1"/>
    <col min="12295" max="12295" width="33.28515625" style="360" customWidth="1"/>
    <col min="12296" max="12543" width="10.7109375" style="360"/>
    <col min="12544" max="12544" width="13.140625" style="360" customWidth="1"/>
    <col min="12545" max="12545" width="38" style="360" customWidth="1"/>
    <col min="12546" max="12546" width="8.42578125" style="360" customWidth="1"/>
    <col min="12547" max="12547" width="15.7109375" style="360" customWidth="1"/>
    <col min="12548" max="12548" width="18.28515625" style="360" customWidth="1"/>
    <col min="12549" max="12549" width="17.85546875" style="360" customWidth="1"/>
    <col min="12550" max="12550" width="0" style="360" hidden="1" customWidth="1"/>
    <col min="12551" max="12551" width="33.28515625" style="360" customWidth="1"/>
    <col min="12552" max="12799" width="10.7109375" style="360"/>
    <col min="12800" max="12800" width="13.140625" style="360" customWidth="1"/>
    <col min="12801" max="12801" width="38" style="360" customWidth="1"/>
    <col min="12802" max="12802" width="8.42578125" style="360" customWidth="1"/>
    <col min="12803" max="12803" width="15.7109375" style="360" customWidth="1"/>
    <col min="12804" max="12804" width="18.28515625" style="360" customWidth="1"/>
    <col min="12805" max="12805" width="17.85546875" style="360" customWidth="1"/>
    <col min="12806" max="12806" width="0" style="360" hidden="1" customWidth="1"/>
    <col min="12807" max="12807" width="33.28515625" style="360" customWidth="1"/>
    <col min="12808" max="13055" width="10.7109375" style="360"/>
    <col min="13056" max="13056" width="13.140625" style="360" customWidth="1"/>
    <col min="13057" max="13057" width="38" style="360" customWidth="1"/>
    <col min="13058" max="13058" width="8.42578125" style="360" customWidth="1"/>
    <col min="13059" max="13059" width="15.7109375" style="360" customWidth="1"/>
    <col min="13060" max="13060" width="18.28515625" style="360" customWidth="1"/>
    <col min="13061" max="13061" width="17.85546875" style="360" customWidth="1"/>
    <col min="13062" max="13062" width="0" style="360" hidden="1" customWidth="1"/>
    <col min="13063" max="13063" width="33.28515625" style="360" customWidth="1"/>
    <col min="13064" max="13311" width="10.7109375" style="360"/>
    <col min="13312" max="13312" width="13.140625" style="360" customWidth="1"/>
    <col min="13313" max="13313" width="38" style="360" customWidth="1"/>
    <col min="13314" max="13314" width="8.42578125" style="360" customWidth="1"/>
    <col min="13315" max="13315" width="15.7109375" style="360" customWidth="1"/>
    <col min="13316" max="13316" width="18.28515625" style="360" customWidth="1"/>
    <col min="13317" max="13317" width="17.85546875" style="360" customWidth="1"/>
    <col min="13318" max="13318" width="0" style="360" hidden="1" customWidth="1"/>
    <col min="13319" max="13319" width="33.28515625" style="360" customWidth="1"/>
    <col min="13320" max="13567" width="10.7109375" style="360"/>
    <col min="13568" max="13568" width="13.140625" style="360" customWidth="1"/>
    <col min="13569" max="13569" width="38" style="360" customWidth="1"/>
    <col min="13570" max="13570" width="8.42578125" style="360" customWidth="1"/>
    <col min="13571" max="13571" width="15.7109375" style="360" customWidth="1"/>
    <col min="13572" max="13572" width="18.28515625" style="360" customWidth="1"/>
    <col min="13573" max="13573" width="17.85546875" style="360" customWidth="1"/>
    <col min="13574" max="13574" width="0" style="360" hidden="1" customWidth="1"/>
    <col min="13575" max="13575" width="33.28515625" style="360" customWidth="1"/>
    <col min="13576" max="13823" width="10.7109375" style="360"/>
    <col min="13824" max="13824" width="13.140625" style="360" customWidth="1"/>
    <col min="13825" max="13825" width="38" style="360" customWidth="1"/>
    <col min="13826" max="13826" width="8.42578125" style="360" customWidth="1"/>
    <col min="13827" max="13827" width="15.7109375" style="360" customWidth="1"/>
    <col min="13828" max="13828" width="18.28515625" style="360" customWidth="1"/>
    <col min="13829" max="13829" width="17.85546875" style="360" customWidth="1"/>
    <col min="13830" max="13830" width="0" style="360" hidden="1" customWidth="1"/>
    <col min="13831" max="13831" width="33.28515625" style="360" customWidth="1"/>
    <col min="13832" max="14079" width="10.7109375" style="360"/>
    <col min="14080" max="14080" width="13.140625" style="360" customWidth="1"/>
    <col min="14081" max="14081" width="38" style="360" customWidth="1"/>
    <col min="14082" max="14082" width="8.42578125" style="360" customWidth="1"/>
    <col min="14083" max="14083" width="15.7109375" style="360" customWidth="1"/>
    <col min="14084" max="14084" width="18.28515625" style="360" customWidth="1"/>
    <col min="14085" max="14085" width="17.85546875" style="360" customWidth="1"/>
    <col min="14086" max="14086" width="0" style="360" hidden="1" customWidth="1"/>
    <col min="14087" max="14087" width="33.28515625" style="360" customWidth="1"/>
    <col min="14088" max="14335" width="10.7109375" style="360"/>
    <col min="14336" max="14336" width="13.140625" style="360" customWidth="1"/>
    <col min="14337" max="14337" width="38" style="360" customWidth="1"/>
    <col min="14338" max="14338" width="8.42578125" style="360" customWidth="1"/>
    <col min="14339" max="14339" width="15.7109375" style="360" customWidth="1"/>
    <col min="14340" max="14340" width="18.28515625" style="360" customWidth="1"/>
    <col min="14341" max="14341" width="17.85546875" style="360" customWidth="1"/>
    <col min="14342" max="14342" width="0" style="360" hidden="1" customWidth="1"/>
    <col min="14343" max="14343" width="33.28515625" style="360" customWidth="1"/>
    <col min="14344" max="14591" width="10.7109375" style="360"/>
    <col min="14592" max="14592" width="13.140625" style="360" customWidth="1"/>
    <col min="14593" max="14593" width="38" style="360" customWidth="1"/>
    <col min="14594" max="14594" width="8.42578125" style="360" customWidth="1"/>
    <col min="14595" max="14595" width="15.7109375" style="360" customWidth="1"/>
    <col min="14596" max="14596" width="18.28515625" style="360" customWidth="1"/>
    <col min="14597" max="14597" width="17.85546875" style="360" customWidth="1"/>
    <col min="14598" max="14598" width="0" style="360" hidden="1" customWidth="1"/>
    <col min="14599" max="14599" width="33.28515625" style="360" customWidth="1"/>
    <col min="14600" max="14847" width="10.7109375" style="360"/>
    <col min="14848" max="14848" width="13.140625" style="360" customWidth="1"/>
    <col min="14849" max="14849" width="38" style="360" customWidth="1"/>
    <col min="14850" max="14850" width="8.42578125" style="360" customWidth="1"/>
    <col min="14851" max="14851" width="15.7109375" style="360" customWidth="1"/>
    <col min="14852" max="14852" width="18.28515625" style="360" customWidth="1"/>
    <col min="14853" max="14853" width="17.85546875" style="360" customWidth="1"/>
    <col min="14854" max="14854" width="0" style="360" hidden="1" customWidth="1"/>
    <col min="14855" max="14855" width="33.28515625" style="360" customWidth="1"/>
    <col min="14856" max="15103" width="10.7109375" style="360"/>
    <col min="15104" max="15104" width="13.140625" style="360" customWidth="1"/>
    <col min="15105" max="15105" width="38" style="360" customWidth="1"/>
    <col min="15106" max="15106" width="8.42578125" style="360" customWidth="1"/>
    <col min="15107" max="15107" width="15.7109375" style="360" customWidth="1"/>
    <col min="15108" max="15108" width="18.28515625" style="360" customWidth="1"/>
    <col min="15109" max="15109" width="17.85546875" style="360" customWidth="1"/>
    <col min="15110" max="15110" width="0" style="360" hidden="1" customWidth="1"/>
    <col min="15111" max="15111" width="33.28515625" style="360" customWidth="1"/>
    <col min="15112" max="15359" width="10.7109375" style="360"/>
    <col min="15360" max="15360" width="13.140625" style="360" customWidth="1"/>
    <col min="15361" max="15361" width="38" style="360" customWidth="1"/>
    <col min="15362" max="15362" width="8.42578125" style="360" customWidth="1"/>
    <col min="15363" max="15363" width="15.7109375" style="360" customWidth="1"/>
    <col min="15364" max="15364" width="18.28515625" style="360" customWidth="1"/>
    <col min="15365" max="15365" width="17.85546875" style="360" customWidth="1"/>
    <col min="15366" max="15366" width="0" style="360" hidden="1" customWidth="1"/>
    <col min="15367" max="15367" width="33.28515625" style="360" customWidth="1"/>
    <col min="15368" max="15615" width="10.7109375" style="360"/>
    <col min="15616" max="15616" width="13.140625" style="360" customWidth="1"/>
    <col min="15617" max="15617" width="38" style="360" customWidth="1"/>
    <col min="15618" max="15618" width="8.42578125" style="360" customWidth="1"/>
    <col min="15619" max="15619" width="15.7109375" style="360" customWidth="1"/>
    <col min="15620" max="15620" width="18.28515625" style="360" customWidth="1"/>
    <col min="15621" max="15621" width="17.85546875" style="360" customWidth="1"/>
    <col min="15622" max="15622" width="0" style="360" hidden="1" customWidth="1"/>
    <col min="15623" max="15623" width="33.28515625" style="360" customWidth="1"/>
    <col min="15624" max="15871" width="10.7109375" style="360"/>
    <col min="15872" max="15872" width="13.140625" style="360" customWidth="1"/>
    <col min="15873" max="15873" width="38" style="360" customWidth="1"/>
    <col min="15874" max="15874" width="8.42578125" style="360" customWidth="1"/>
    <col min="15875" max="15875" width="15.7109375" style="360" customWidth="1"/>
    <col min="15876" max="15876" width="18.28515625" style="360" customWidth="1"/>
    <col min="15877" max="15877" width="17.85546875" style="360" customWidth="1"/>
    <col min="15878" max="15878" width="0" style="360" hidden="1" customWidth="1"/>
    <col min="15879" max="15879" width="33.28515625" style="360" customWidth="1"/>
    <col min="15880" max="16127" width="10.7109375" style="360"/>
    <col min="16128" max="16128" width="13.140625" style="360" customWidth="1"/>
    <col min="16129" max="16129" width="38" style="360" customWidth="1"/>
    <col min="16130" max="16130" width="8.42578125" style="360" customWidth="1"/>
    <col min="16131" max="16131" width="15.7109375" style="360" customWidth="1"/>
    <col min="16132" max="16132" width="18.28515625" style="360" customWidth="1"/>
    <col min="16133" max="16133" width="17.85546875" style="360" customWidth="1"/>
    <col min="16134" max="16134" width="0" style="360" hidden="1" customWidth="1"/>
    <col min="16135" max="16135" width="33.28515625" style="360" customWidth="1"/>
    <col min="16136" max="16384" width="10.7109375" style="360"/>
  </cols>
  <sheetData>
    <row r="1" spans="1:9" ht="15" customHeight="1" x14ac:dyDescent="0.25">
      <c r="A1" s="396" t="s">
        <v>997</v>
      </c>
      <c r="B1" s="356"/>
      <c r="C1" s="357"/>
      <c r="D1" s="358"/>
      <c r="E1" s="358"/>
      <c r="F1" s="359"/>
      <c r="G1" s="359"/>
    </row>
    <row r="2" spans="1:9" ht="15" customHeight="1" x14ac:dyDescent="0.3">
      <c r="A2" s="361"/>
      <c r="B2" s="356"/>
      <c r="C2" s="357"/>
      <c r="D2" s="358"/>
      <c r="E2" s="358"/>
      <c r="F2" s="359"/>
      <c r="G2" s="359"/>
    </row>
    <row r="3" spans="1:9" ht="15" customHeight="1" x14ac:dyDescent="0.3">
      <c r="A3" s="359"/>
      <c r="B3" s="362"/>
      <c r="C3" s="357"/>
      <c r="D3" s="358"/>
      <c r="E3" s="358"/>
      <c r="F3" s="359"/>
      <c r="G3" s="359"/>
    </row>
    <row r="4" spans="1:9" ht="15" customHeight="1" x14ac:dyDescent="0.3">
      <c r="A4" s="1445" t="s">
        <v>1217</v>
      </c>
      <c r="B4" s="1445"/>
      <c r="C4" s="1445"/>
      <c r="D4" s="1445"/>
      <c r="E4" s="1445"/>
      <c r="F4" s="1445"/>
      <c r="G4" s="1445"/>
    </row>
    <row r="5" spans="1:9" ht="15" customHeight="1" x14ac:dyDescent="0.3">
      <c r="A5" s="1445" t="s">
        <v>1194</v>
      </c>
      <c r="B5" s="1445"/>
      <c r="C5" s="1445"/>
      <c r="D5" s="1445"/>
      <c r="E5" s="1445"/>
      <c r="F5" s="1445"/>
      <c r="G5" s="1445"/>
    </row>
    <row r="6" spans="1:9" ht="15" customHeight="1" x14ac:dyDescent="0.3">
      <c r="A6" s="1445" t="s">
        <v>998</v>
      </c>
      <c r="B6" s="1445"/>
      <c r="C6" s="1445"/>
      <c r="D6" s="1445"/>
      <c r="E6" s="1445"/>
      <c r="F6" s="1445"/>
      <c r="G6" s="1445"/>
    </row>
    <row r="7" spans="1:9" ht="15" customHeight="1" x14ac:dyDescent="0.3">
      <c r="A7" s="397"/>
      <c r="B7" s="397"/>
      <c r="C7" s="397"/>
      <c r="D7" s="397"/>
      <c r="E7" s="397"/>
      <c r="F7" s="397"/>
      <c r="G7" s="397"/>
    </row>
    <row r="8" spans="1:9" ht="15" customHeight="1" x14ac:dyDescent="0.3">
      <c r="A8" s="359"/>
      <c r="B8" s="362"/>
      <c r="C8" s="357"/>
      <c r="D8" s="358"/>
      <c r="E8" s="358"/>
      <c r="F8" s="359"/>
      <c r="G8" s="359"/>
    </row>
    <row r="9" spans="1:9" ht="25.5" x14ac:dyDescent="0.25">
      <c r="A9" s="1455" t="s">
        <v>1179</v>
      </c>
      <c r="B9" s="1455" t="s">
        <v>1180</v>
      </c>
      <c r="C9" s="1455" t="s">
        <v>1181</v>
      </c>
      <c r="D9" s="1457" t="s">
        <v>1182</v>
      </c>
      <c r="E9" s="398" t="s">
        <v>1183</v>
      </c>
      <c r="F9" s="1455" t="s">
        <v>1184</v>
      </c>
      <c r="G9" s="1455" t="s">
        <v>1185</v>
      </c>
      <c r="I9" s="363"/>
    </row>
    <row r="10" spans="1:9" ht="15" customHeight="1" x14ac:dyDescent="0.25">
      <c r="A10" s="1456"/>
      <c r="B10" s="1456"/>
      <c r="C10" s="1456"/>
      <c r="D10" s="1458"/>
      <c r="E10" s="410" t="s">
        <v>1186</v>
      </c>
      <c r="F10" s="1456"/>
      <c r="G10" s="1456"/>
      <c r="I10" s="363"/>
    </row>
    <row r="11" spans="1:9" ht="15" customHeight="1" x14ac:dyDescent="0.3">
      <c r="A11" s="406">
        <v>1</v>
      </c>
      <c r="B11" s="406">
        <v>2</v>
      </c>
      <c r="C11" s="406">
        <v>3</v>
      </c>
      <c r="D11" s="407">
        <v>4</v>
      </c>
      <c r="E11" s="407">
        <v>5</v>
      </c>
      <c r="F11" s="406">
        <v>7</v>
      </c>
      <c r="G11" s="406">
        <v>6</v>
      </c>
    </row>
    <row r="12" spans="1:9" ht="15" customHeight="1" x14ac:dyDescent="0.3">
      <c r="A12" s="420" t="s">
        <v>833</v>
      </c>
      <c r="B12" s="413"/>
      <c r="C12" s="413"/>
      <c r="D12" s="414"/>
      <c r="E12" s="414"/>
      <c r="F12" s="413"/>
      <c r="G12" s="415"/>
    </row>
    <row r="13" spans="1:9" ht="26.45" x14ac:dyDescent="0.3">
      <c r="A13" s="402"/>
      <c r="B13" s="393" t="s">
        <v>1224</v>
      </c>
      <c r="C13" s="394">
        <v>22</v>
      </c>
      <c r="D13" s="395">
        <v>300</v>
      </c>
      <c r="E13" s="395">
        <f t="shared" ref="E13:E29" si="0">C13*D13</f>
        <v>6600</v>
      </c>
      <c r="F13" s="393"/>
      <c r="G13" s="393" t="s">
        <v>1238</v>
      </c>
    </row>
    <row r="14" spans="1:9" ht="13.15" x14ac:dyDescent="0.3">
      <c r="A14" s="366"/>
      <c r="B14" s="367" t="s">
        <v>1225</v>
      </c>
      <c r="C14" s="368">
        <v>26</v>
      </c>
      <c r="D14" s="412">
        <v>150</v>
      </c>
      <c r="E14" s="395">
        <f t="shared" si="0"/>
        <v>3900</v>
      </c>
      <c r="F14" s="367"/>
      <c r="G14" s="367" t="s">
        <v>1239</v>
      </c>
    </row>
    <row r="15" spans="1:9" ht="13.15" x14ac:dyDescent="0.3">
      <c r="A15" s="366"/>
      <c r="B15" s="367" t="s">
        <v>1226</v>
      </c>
      <c r="C15" s="368">
        <v>4</v>
      </c>
      <c r="D15" s="412">
        <v>750</v>
      </c>
      <c r="E15" s="395">
        <f t="shared" si="0"/>
        <v>3000</v>
      </c>
      <c r="F15" s="367"/>
      <c r="G15" s="367"/>
    </row>
    <row r="16" spans="1:9" ht="13.15" x14ac:dyDescent="0.3">
      <c r="A16" s="366"/>
      <c r="B16" s="367" t="s">
        <v>1227</v>
      </c>
      <c r="C16" s="368">
        <v>10</v>
      </c>
      <c r="D16" s="412">
        <v>90</v>
      </c>
      <c r="E16" s="395">
        <f t="shared" si="0"/>
        <v>900</v>
      </c>
      <c r="F16" s="367"/>
      <c r="G16" s="367" t="s">
        <v>1244</v>
      </c>
    </row>
    <row r="17" spans="1:8" ht="13.15" x14ac:dyDescent="0.3">
      <c r="A17" s="366"/>
      <c r="B17" s="367" t="s">
        <v>1228</v>
      </c>
      <c r="C17" s="368">
        <v>1</v>
      </c>
      <c r="D17" s="412">
        <v>1000</v>
      </c>
      <c r="E17" s="395">
        <f t="shared" si="0"/>
        <v>1000</v>
      </c>
      <c r="F17" s="367"/>
      <c r="G17" s="367" t="s">
        <v>1229</v>
      </c>
    </row>
    <row r="18" spans="1:8" ht="13.15" x14ac:dyDescent="0.3">
      <c r="A18" s="366"/>
      <c r="B18" s="367" t="s">
        <v>1230</v>
      </c>
      <c r="C18" s="368">
        <v>6</v>
      </c>
      <c r="D18" s="412">
        <v>250</v>
      </c>
      <c r="E18" s="395">
        <f t="shared" si="0"/>
        <v>1500</v>
      </c>
      <c r="F18" s="367"/>
      <c r="G18" s="367"/>
    </row>
    <row r="19" spans="1:8" ht="26.45" x14ac:dyDescent="0.3">
      <c r="A19" s="366"/>
      <c r="B19" s="367" t="s">
        <v>1231</v>
      </c>
      <c r="C19" s="368">
        <v>1</v>
      </c>
      <c r="D19" s="412">
        <v>4500</v>
      </c>
      <c r="E19" s="395">
        <f t="shared" si="0"/>
        <v>4500</v>
      </c>
      <c r="F19" s="367"/>
      <c r="G19" s="367" t="s">
        <v>1237</v>
      </c>
    </row>
    <row r="20" spans="1:8" ht="26.45" x14ac:dyDescent="0.3">
      <c r="A20" s="366"/>
      <c r="B20" s="367" t="s">
        <v>1232</v>
      </c>
      <c r="C20" s="368">
        <v>43</v>
      </c>
      <c r="D20" s="412">
        <v>650</v>
      </c>
      <c r="E20" s="395">
        <f t="shared" si="0"/>
        <v>27950</v>
      </c>
      <c r="F20" s="367"/>
      <c r="G20" s="367" t="s">
        <v>1240</v>
      </c>
    </row>
    <row r="21" spans="1:8" ht="13.15" x14ac:dyDescent="0.3">
      <c r="A21" s="366"/>
      <c r="B21" s="367" t="s">
        <v>1233</v>
      </c>
      <c r="C21" s="368">
        <v>17</v>
      </c>
      <c r="D21" s="412">
        <v>75</v>
      </c>
      <c r="E21" s="395">
        <f t="shared" si="0"/>
        <v>1275</v>
      </c>
      <c r="F21" s="367"/>
      <c r="G21" s="367"/>
    </row>
    <row r="22" spans="1:8" ht="39.6" x14ac:dyDescent="0.3">
      <c r="A22" s="366"/>
      <c r="B22" s="367" t="s">
        <v>1234</v>
      </c>
      <c r="C22" s="368">
        <v>125</v>
      </c>
      <c r="D22" s="412">
        <v>600</v>
      </c>
      <c r="E22" s="395">
        <f t="shared" si="0"/>
        <v>75000</v>
      </c>
      <c r="F22" s="367"/>
      <c r="G22" s="367" t="s">
        <v>1242</v>
      </c>
      <c r="H22" s="360" t="s">
        <v>1241</v>
      </c>
    </row>
    <row r="23" spans="1:8" ht="13.15" x14ac:dyDescent="0.3">
      <c r="A23" s="366"/>
      <c r="B23" s="367" t="s">
        <v>1235</v>
      </c>
      <c r="C23" s="368">
        <v>1</v>
      </c>
      <c r="D23" s="412">
        <v>750</v>
      </c>
      <c r="E23" s="395">
        <f t="shared" si="0"/>
        <v>750</v>
      </c>
      <c r="F23" s="367"/>
      <c r="G23" s="367" t="s">
        <v>1243</v>
      </c>
    </row>
    <row r="24" spans="1:8" ht="13.15" x14ac:dyDescent="0.3">
      <c r="A24" s="366"/>
      <c r="B24" s="367" t="s">
        <v>1236</v>
      </c>
      <c r="C24" s="368">
        <v>1</v>
      </c>
      <c r="D24" s="412">
        <v>1500</v>
      </c>
      <c r="E24" s="395">
        <f t="shared" si="0"/>
        <v>1500</v>
      </c>
      <c r="F24" s="367"/>
      <c r="G24" s="367"/>
    </row>
    <row r="25" spans="1:8" ht="13.9" x14ac:dyDescent="0.3">
      <c r="A25" s="420" t="s">
        <v>1221</v>
      </c>
      <c r="B25" s="416"/>
      <c r="C25" s="417"/>
      <c r="D25" s="418"/>
      <c r="E25" s="418"/>
      <c r="F25" s="416"/>
      <c r="G25" s="419"/>
    </row>
    <row r="26" spans="1:8" ht="52.9" x14ac:dyDescent="0.3">
      <c r="A26" s="402"/>
      <c r="B26" s="367" t="s">
        <v>1245</v>
      </c>
      <c r="C26" s="394">
        <v>1</v>
      </c>
      <c r="D26" s="412">
        <v>13300</v>
      </c>
      <c r="E26" s="395">
        <f t="shared" si="0"/>
        <v>13300</v>
      </c>
      <c r="F26" s="393"/>
      <c r="G26" s="421" t="s">
        <v>1246</v>
      </c>
    </row>
    <row r="27" spans="1:8" ht="26.45" x14ac:dyDescent="0.3">
      <c r="A27" s="402"/>
      <c r="B27" s="367" t="s">
        <v>1220</v>
      </c>
      <c r="C27" s="400">
        <v>1</v>
      </c>
      <c r="D27" s="401">
        <v>1200</v>
      </c>
      <c r="E27" s="395">
        <f t="shared" si="0"/>
        <v>1200</v>
      </c>
      <c r="F27" s="399"/>
      <c r="G27" s="399" t="s">
        <v>1248</v>
      </c>
      <c r="H27" s="360" t="s">
        <v>1247</v>
      </c>
    </row>
    <row r="28" spans="1:8" ht="13.15" x14ac:dyDescent="0.3">
      <c r="A28" s="402"/>
      <c r="B28" s="367" t="s">
        <v>1222</v>
      </c>
      <c r="C28" s="400">
        <v>1</v>
      </c>
      <c r="D28" s="401">
        <v>250</v>
      </c>
      <c r="E28" s="395">
        <f t="shared" si="0"/>
        <v>250</v>
      </c>
      <c r="F28" s="399"/>
      <c r="G28" s="399" t="s">
        <v>1251</v>
      </c>
    </row>
    <row r="29" spans="1:8" ht="26.45" x14ac:dyDescent="0.3">
      <c r="A29" s="402"/>
      <c r="B29" s="367" t="s">
        <v>1223</v>
      </c>
      <c r="C29" s="400">
        <v>1</v>
      </c>
      <c r="D29" s="401">
        <v>3500</v>
      </c>
      <c r="E29" s="395">
        <f t="shared" si="0"/>
        <v>3500</v>
      </c>
      <c r="F29" s="399"/>
      <c r="G29" s="421" t="s">
        <v>1250</v>
      </c>
      <c r="H29" s="360" t="s">
        <v>1249</v>
      </c>
    </row>
    <row r="30" spans="1:8" ht="15" customHeight="1" x14ac:dyDescent="0.3">
      <c r="A30" s="1444" t="s">
        <v>545</v>
      </c>
      <c r="B30" s="1444"/>
      <c r="C30" s="1444"/>
      <c r="D30" s="1444"/>
      <c r="E30" s="370">
        <f>SUM(E13:E29)</f>
        <v>146125</v>
      </c>
      <c r="F30" s="1444" t="s">
        <v>1188</v>
      </c>
      <c r="G30" s="1444"/>
    </row>
    <row r="31" spans="1:8" ht="15" customHeight="1" x14ac:dyDescent="0.3">
      <c r="A31" s="359"/>
      <c r="B31" s="371"/>
      <c r="C31" s="372"/>
      <c r="D31" s="358"/>
      <c r="E31" s="358"/>
      <c r="F31" s="359"/>
      <c r="G31" s="359"/>
    </row>
    <row r="32" spans="1:8" ht="15" customHeight="1" x14ac:dyDescent="0.25">
      <c r="A32" s="359"/>
      <c r="B32" s="362"/>
      <c r="C32" s="357"/>
      <c r="D32" s="358"/>
      <c r="E32" s="358"/>
      <c r="F32" s="359"/>
      <c r="G32" s="44" t="s">
        <v>82</v>
      </c>
    </row>
    <row r="33" spans="1:7" ht="15" customHeight="1" x14ac:dyDescent="0.25">
      <c r="A33" s="359"/>
      <c r="B33" s="371"/>
      <c r="C33" s="357"/>
      <c r="D33" s="358"/>
      <c r="E33" s="358"/>
      <c r="F33" s="359"/>
      <c r="G33" s="45" t="s">
        <v>349</v>
      </c>
    </row>
    <row r="34" spans="1:7" ht="15" customHeight="1" x14ac:dyDescent="0.25">
      <c r="A34" s="359"/>
      <c r="B34" s="362"/>
      <c r="C34" s="357"/>
      <c r="D34" s="358"/>
      <c r="E34" s="358"/>
      <c r="F34" s="359"/>
      <c r="G34" s="44" t="s">
        <v>350</v>
      </c>
    </row>
    <row r="35" spans="1:7" ht="15" customHeight="1" x14ac:dyDescent="0.25">
      <c r="A35" s="359"/>
      <c r="B35" s="371"/>
      <c r="C35" s="357"/>
      <c r="D35" s="358"/>
      <c r="E35" s="358"/>
      <c r="F35" s="359"/>
      <c r="G35" s="45" t="s">
        <v>83</v>
      </c>
    </row>
    <row r="36" spans="1:7" ht="15" customHeight="1" x14ac:dyDescent="0.25">
      <c r="A36" s="359"/>
      <c r="B36" s="362"/>
      <c r="C36" s="357"/>
      <c r="D36" s="358"/>
      <c r="E36" s="358"/>
      <c r="F36" s="359"/>
      <c r="G36" s="45" t="s">
        <v>351</v>
      </c>
    </row>
    <row r="37" spans="1:7" ht="15" customHeight="1" x14ac:dyDescent="0.3">
      <c r="A37" s="359"/>
      <c r="B37" s="371"/>
      <c r="C37" s="357"/>
      <c r="D37" s="358"/>
      <c r="E37" s="358"/>
      <c r="F37" s="359"/>
      <c r="G37" s="359"/>
    </row>
    <row r="38" spans="1:7" ht="15" customHeight="1" x14ac:dyDescent="0.3"/>
    <row r="39" spans="1:7" ht="15" customHeight="1" x14ac:dyDescent="0.3">
      <c r="A39" s="373"/>
      <c r="B39" s="376"/>
    </row>
    <row r="40" spans="1:7" ht="15" customHeight="1" x14ac:dyDescent="0.3">
      <c r="A40" s="376"/>
    </row>
    <row r="41" spans="1:7" ht="15" customHeight="1" x14ac:dyDescent="0.3">
      <c r="A41" s="377"/>
      <c r="B41" s="360"/>
    </row>
    <row r="42" spans="1:7" ht="15" customHeight="1" x14ac:dyDescent="0.3">
      <c r="A42" s="378"/>
      <c r="B42" s="360"/>
      <c r="G42" s="379"/>
    </row>
    <row r="43" spans="1:7" ht="15" customHeight="1" x14ac:dyDescent="0.3">
      <c r="A43" s="378"/>
      <c r="B43" s="360"/>
    </row>
    <row r="44" spans="1:7" ht="15" customHeight="1" x14ac:dyDescent="0.3">
      <c r="A44" s="378"/>
      <c r="B44" s="360"/>
    </row>
    <row r="45" spans="1:7" ht="15" customHeight="1" x14ac:dyDescent="0.3">
      <c r="A45" s="378"/>
      <c r="B45" s="360"/>
      <c r="G45" s="379"/>
    </row>
    <row r="46" spans="1:7" ht="15" customHeight="1" x14ac:dyDescent="0.3">
      <c r="A46" s="378"/>
      <c r="B46" s="360"/>
    </row>
    <row r="47" spans="1:7" ht="15" customHeight="1" x14ac:dyDescent="0.3">
      <c r="A47" s="378"/>
      <c r="B47" s="360"/>
    </row>
    <row r="48" spans="1:7" ht="15" customHeight="1" x14ac:dyDescent="0.3">
      <c r="A48" s="378"/>
      <c r="B48" s="360"/>
      <c r="G48" s="379"/>
    </row>
    <row r="49" spans="1:15" ht="15" customHeight="1" x14ac:dyDescent="0.3">
      <c r="A49" s="378"/>
      <c r="B49" s="360"/>
    </row>
    <row r="50" spans="1:15" ht="15" customHeight="1" x14ac:dyDescent="0.3">
      <c r="A50" s="378"/>
      <c r="B50" s="360"/>
      <c r="G50" s="379"/>
    </row>
    <row r="51" spans="1:15" ht="15" customHeight="1" x14ac:dyDescent="0.3">
      <c r="A51" s="378"/>
      <c r="B51" s="360"/>
    </row>
    <row r="52" spans="1:15" ht="15" customHeight="1" x14ac:dyDescent="0.3">
      <c r="A52" s="378"/>
      <c r="B52" s="360"/>
      <c r="G52" s="379"/>
    </row>
    <row r="53" spans="1:15" ht="15" customHeight="1" x14ac:dyDescent="0.3">
      <c r="A53" s="378"/>
      <c r="B53" s="360"/>
    </row>
    <row r="54" spans="1:15" ht="15" customHeight="1" x14ac:dyDescent="0.25">
      <c r="A54" s="378"/>
      <c r="B54" s="360"/>
    </row>
    <row r="55" spans="1:15" ht="15" customHeight="1" x14ac:dyDescent="0.25">
      <c r="A55" s="378"/>
      <c r="B55" s="360"/>
      <c r="G55" s="379"/>
    </row>
    <row r="56" spans="1:15" ht="15" customHeight="1" x14ac:dyDescent="0.25">
      <c r="A56" s="378"/>
      <c r="B56" s="360"/>
      <c r="H56" s="374"/>
      <c r="I56" s="374"/>
      <c r="J56" s="374"/>
      <c r="K56" s="374"/>
      <c r="L56" s="374"/>
      <c r="M56" s="374"/>
      <c r="N56" s="374"/>
      <c r="O56" s="374"/>
    </row>
    <row r="57" spans="1:15" ht="15" customHeight="1" x14ac:dyDescent="0.25">
      <c r="A57" s="378"/>
      <c r="B57" s="360"/>
      <c r="G57" s="379"/>
      <c r="H57" s="374"/>
      <c r="I57" s="374"/>
      <c r="J57" s="374"/>
      <c r="K57" s="374"/>
      <c r="L57" s="374"/>
      <c r="M57" s="374"/>
      <c r="N57" s="374"/>
      <c r="O57" s="374"/>
    </row>
    <row r="58" spans="1:15" ht="15" customHeight="1" x14ac:dyDescent="0.25">
      <c r="A58" s="378"/>
      <c r="B58" s="360"/>
      <c r="H58" s="374"/>
      <c r="I58" s="374"/>
      <c r="J58" s="374"/>
      <c r="K58" s="374"/>
      <c r="L58" s="374"/>
      <c r="M58" s="374"/>
      <c r="N58" s="374"/>
      <c r="O58" s="374"/>
    </row>
    <row r="59" spans="1:15" ht="15" customHeight="1" x14ac:dyDescent="0.25">
      <c r="A59" s="378"/>
      <c r="B59" s="360"/>
      <c r="H59" s="374"/>
      <c r="I59" s="374"/>
      <c r="J59" s="374"/>
      <c r="K59" s="374"/>
      <c r="L59" s="374"/>
      <c r="M59" s="374"/>
      <c r="N59" s="374"/>
      <c r="O59" s="374"/>
    </row>
    <row r="60" spans="1:15" ht="15" customHeight="1" x14ac:dyDescent="0.25">
      <c r="A60" s="378"/>
      <c r="B60" s="360"/>
      <c r="G60" s="379"/>
      <c r="H60" s="374"/>
      <c r="I60" s="374"/>
      <c r="J60" s="374"/>
      <c r="K60" s="374"/>
      <c r="L60" s="374"/>
      <c r="M60" s="374"/>
      <c r="N60" s="374"/>
      <c r="O60" s="374"/>
    </row>
    <row r="61" spans="1:15" ht="15" customHeight="1" x14ac:dyDescent="0.25">
      <c r="A61" s="378"/>
      <c r="B61" s="363"/>
      <c r="G61" s="379"/>
      <c r="H61" s="374"/>
      <c r="I61" s="374"/>
      <c r="J61" s="374"/>
      <c r="K61" s="374"/>
      <c r="L61" s="374"/>
      <c r="M61" s="374"/>
      <c r="N61" s="374"/>
      <c r="O61" s="374"/>
    </row>
    <row r="62" spans="1:15" ht="15" customHeight="1" x14ac:dyDescent="0.25">
      <c r="A62" s="378"/>
      <c r="B62" s="360"/>
      <c r="G62" s="379"/>
      <c r="H62" s="374"/>
      <c r="I62" s="374"/>
      <c r="J62" s="374"/>
      <c r="K62" s="374"/>
      <c r="L62" s="374"/>
      <c r="M62" s="374"/>
      <c r="N62" s="374"/>
      <c r="O62" s="374"/>
    </row>
    <row r="63" spans="1:15" ht="15" customHeight="1" x14ac:dyDescent="0.25">
      <c r="A63" s="378"/>
      <c r="B63" s="360"/>
      <c r="G63" s="379"/>
      <c r="H63" s="374"/>
      <c r="I63" s="374"/>
      <c r="J63" s="374"/>
      <c r="K63" s="374"/>
      <c r="L63" s="374"/>
      <c r="M63" s="374"/>
      <c r="N63" s="374"/>
      <c r="O63" s="374"/>
    </row>
    <row r="64" spans="1:15" ht="15" customHeight="1" x14ac:dyDescent="0.25">
      <c r="A64" s="378"/>
      <c r="B64" s="360"/>
      <c r="G64" s="379"/>
      <c r="H64" s="374"/>
      <c r="I64" s="374"/>
      <c r="J64" s="374"/>
      <c r="K64" s="374"/>
      <c r="L64" s="374"/>
      <c r="M64" s="374"/>
      <c r="N64" s="374"/>
      <c r="O64" s="374"/>
    </row>
    <row r="65" spans="1:15" ht="15" customHeight="1" x14ac:dyDescent="0.25">
      <c r="A65" s="378"/>
      <c r="B65" s="360"/>
      <c r="G65" s="379"/>
      <c r="H65" s="374"/>
      <c r="I65" s="374"/>
      <c r="J65" s="374"/>
      <c r="K65" s="374"/>
      <c r="L65" s="374"/>
      <c r="M65" s="374"/>
      <c r="N65" s="374"/>
      <c r="O65" s="374"/>
    </row>
    <row r="66" spans="1:15" ht="15" customHeight="1" x14ac:dyDescent="0.25">
      <c r="A66" s="378"/>
      <c r="B66" s="360"/>
      <c r="G66" s="379"/>
      <c r="H66" s="374"/>
      <c r="I66" s="374"/>
      <c r="J66" s="374"/>
      <c r="K66" s="374"/>
      <c r="L66" s="374"/>
      <c r="M66" s="374"/>
      <c r="N66" s="374"/>
      <c r="O66" s="374"/>
    </row>
    <row r="67" spans="1:15" ht="15" customHeight="1" x14ac:dyDescent="0.25">
      <c r="A67" s="378"/>
      <c r="B67" s="360"/>
      <c r="G67" s="379"/>
      <c r="H67" s="374"/>
      <c r="I67" s="374"/>
      <c r="J67" s="374"/>
      <c r="K67" s="374"/>
      <c r="L67" s="374"/>
      <c r="M67" s="374"/>
      <c r="N67" s="374"/>
      <c r="O67" s="374"/>
    </row>
    <row r="68" spans="1:15" ht="15" customHeight="1" x14ac:dyDescent="0.25">
      <c r="A68" s="376"/>
      <c r="B68" s="360"/>
      <c r="D68" s="380"/>
      <c r="E68" s="380"/>
      <c r="F68" s="374"/>
      <c r="G68" s="374"/>
      <c r="H68" s="374"/>
      <c r="I68" s="374"/>
      <c r="J68" s="374"/>
      <c r="K68" s="374"/>
      <c r="L68" s="374"/>
      <c r="M68" s="374"/>
      <c r="N68" s="374"/>
      <c r="O68" s="374"/>
    </row>
    <row r="69" spans="1:15" ht="15" customHeight="1" x14ac:dyDescent="0.25">
      <c r="A69" s="376"/>
      <c r="B69" s="360"/>
      <c r="D69" s="380"/>
      <c r="E69" s="380"/>
      <c r="F69" s="374"/>
      <c r="G69" s="374"/>
      <c r="H69" s="374"/>
      <c r="I69" s="374"/>
      <c r="J69" s="374"/>
      <c r="K69" s="374"/>
      <c r="L69" s="374"/>
      <c r="M69" s="374"/>
      <c r="N69" s="374"/>
      <c r="O69" s="374"/>
    </row>
    <row r="70" spans="1:15" ht="15" customHeight="1" x14ac:dyDescent="0.25">
      <c r="B70" s="360"/>
      <c r="D70" s="380"/>
      <c r="E70" s="380"/>
      <c r="F70" s="374"/>
      <c r="G70" s="374"/>
      <c r="H70" s="374"/>
      <c r="I70" s="374"/>
      <c r="J70" s="374"/>
      <c r="K70" s="374"/>
      <c r="L70" s="374"/>
      <c r="M70" s="374"/>
      <c r="N70" s="374"/>
      <c r="O70" s="374"/>
    </row>
    <row r="71" spans="1:15" ht="15" customHeight="1" x14ac:dyDescent="0.25">
      <c r="B71" s="360"/>
      <c r="D71" s="380"/>
      <c r="E71" s="380"/>
      <c r="F71" s="374"/>
      <c r="G71" s="374"/>
      <c r="H71" s="374"/>
      <c r="I71" s="374"/>
      <c r="J71" s="374"/>
      <c r="K71" s="374"/>
      <c r="L71" s="374"/>
      <c r="M71" s="374"/>
      <c r="N71" s="374"/>
      <c r="O71" s="374"/>
    </row>
    <row r="72" spans="1:15" ht="15" customHeight="1" x14ac:dyDescent="0.25">
      <c r="A72" s="376"/>
      <c r="B72" s="360"/>
      <c r="D72" s="380"/>
      <c r="E72" s="380"/>
      <c r="F72" s="374"/>
      <c r="G72" s="374"/>
      <c r="H72" s="374"/>
      <c r="I72" s="374"/>
      <c r="J72" s="374"/>
      <c r="K72" s="374"/>
      <c r="L72" s="374"/>
      <c r="M72" s="374"/>
      <c r="N72" s="374"/>
      <c r="O72" s="374"/>
    </row>
    <row r="73" spans="1:15" ht="15" customHeight="1" x14ac:dyDescent="0.25">
      <c r="A73" s="376"/>
      <c r="B73" s="360"/>
      <c r="D73" s="380"/>
      <c r="E73" s="380"/>
      <c r="F73" s="374"/>
      <c r="G73" s="374"/>
      <c r="H73" s="374"/>
      <c r="I73" s="374"/>
      <c r="J73" s="374"/>
      <c r="K73" s="374"/>
      <c r="L73" s="374"/>
      <c r="M73" s="374"/>
      <c r="N73" s="374"/>
      <c r="O73" s="374"/>
    </row>
    <row r="74" spans="1:15" ht="15" customHeight="1" x14ac:dyDescent="0.25">
      <c r="A74" s="376"/>
      <c r="B74" s="360"/>
      <c r="D74" s="380"/>
      <c r="E74" s="380"/>
      <c r="F74" s="374"/>
      <c r="G74" s="374"/>
      <c r="H74" s="374"/>
      <c r="I74" s="374"/>
      <c r="J74" s="374"/>
      <c r="K74" s="374"/>
      <c r="L74" s="374"/>
      <c r="M74" s="374"/>
      <c r="N74" s="374"/>
      <c r="O74" s="374"/>
    </row>
    <row r="75" spans="1:15" ht="15" customHeight="1" x14ac:dyDescent="0.25">
      <c r="A75" s="376"/>
      <c r="B75" s="360"/>
      <c r="D75" s="380"/>
      <c r="E75" s="380"/>
      <c r="F75" s="374"/>
      <c r="G75" s="374"/>
      <c r="H75" s="374"/>
      <c r="I75" s="374"/>
      <c r="J75" s="374"/>
      <c r="K75" s="374"/>
      <c r="L75" s="374"/>
      <c r="M75" s="374"/>
      <c r="N75" s="374"/>
      <c r="O75" s="374"/>
    </row>
    <row r="76" spans="1:15" ht="15" customHeight="1" x14ac:dyDescent="0.25">
      <c r="A76" s="376"/>
      <c r="B76" s="360"/>
      <c r="D76" s="380"/>
      <c r="E76" s="380"/>
      <c r="F76" s="374"/>
      <c r="G76" s="374"/>
      <c r="H76" s="374"/>
      <c r="I76" s="374"/>
      <c r="J76" s="374"/>
      <c r="K76" s="374"/>
      <c r="L76" s="374"/>
      <c r="M76" s="374"/>
      <c r="N76" s="374"/>
      <c r="O76" s="374"/>
    </row>
    <row r="77" spans="1:15" ht="15" customHeight="1" x14ac:dyDescent="0.25">
      <c r="A77" s="376"/>
      <c r="B77" s="360"/>
      <c r="D77" s="380"/>
      <c r="E77" s="380"/>
      <c r="F77" s="374"/>
      <c r="G77" s="374"/>
      <c r="H77" s="374"/>
      <c r="I77" s="374"/>
      <c r="J77" s="374"/>
      <c r="K77" s="374"/>
      <c r="L77" s="374"/>
      <c r="M77" s="374"/>
      <c r="N77" s="374"/>
      <c r="O77" s="374"/>
    </row>
    <row r="78" spans="1:15" ht="15" customHeight="1" x14ac:dyDescent="0.25">
      <c r="A78" s="376"/>
      <c r="D78" s="380"/>
      <c r="E78" s="380"/>
      <c r="F78" s="374"/>
      <c r="G78" s="374"/>
      <c r="H78" s="374"/>
      <c r="I78" s="374"/>
      <c r="J78" s="374"/>
      <c r="K78" s="374"/>
      <c r="L78" s="374"/>
      <c r="M78" s="374"/>
      <c r="N78" s="374"/>
      <c r="O78" s="374"/>
    </row>
    <row r="79" spans="1:15" ht="15" customHeight="1" x14ac:dyDescent="0.25">
      <c r="A79" s="376"/>
      <c r="D79" s="380"/>
      <c r="E79" s="380"/>
      <c r="F79" s="374"/>
      <c r="G79" s="374"/>
      <c r="H79" s="374"/>
      <c r="I79" s="374"/>
      <c r="J79" s="374"/>
      <c r="K79" s="374"/>
      <c r="L79" s="374"/>
      <c r="M79" s="374"/>
      <c r="N79" s="374"/>
      <c r="O79" s="374"/>
    </row>
    <row r="80" spans="1:15" ht="15" customHeight="1" x14ac:dyDescent="0.25">
      <c r="A80" s="376"/>
      <c r="B80" s="360"/>
      <c r="D80" s="380"/>
      <c r="E80" s="380"/>
      <c r="F80" s="374"/>
      <c r="G80" s="374"/>
      <c r="H80" s="374"/>
      <c r="I80" s="374"/>
      <c r="J80" s="374"/>
      <c r="K80" s="374"/>
      <c r="L80" s="374"/>
      <c r="M80" s="374"/>
      <c r="N80" s="374"/>
      <c r="O80" s="374"/>
    </row>
    <row r="81" spans="1:15" ht="15" customHeight="1" x14ac:dyDescent="0.25">
      <c r="A81" s="376"/>
      <c r="D81" s="380"/>
      <c r="E81" s="380"/>
      <c r="F81" s="374"/>
      <c r="G81" s="374"/>
      <c r="H81" s="374"/>
      <c r="I81" s="374"/>
      <c r="J81" s="374"/>
      <c r="K81" s="374"/>
      <c r="L81" s="374"/>
      <c r="M81" s="374"/>
      <c r="N81" s="374"/>
      <c r="O81" s="374"/>
    </row>
    <row r="82" spans="1:15" ht="15" customHeight="1" x14ac:dyDescent="0.25">
      <c r="A82" s="376"/>
      <c r="D82" s="380"/>
      <c r="E82" s="380"/>
      <c r="F82" s="374"/>
      <c r="G82" s="374"/>
      <c r="H82" s="374"/>
      <c r="I82" s="374"/>
      <c r="J82" s="374"/>
      <c r="K82" s="374"/>
      <c r="L82" s="374"/>
      <c r="M82" s="374"/>
      <c r="N82" s="374"/>
      <c r="O82" s="374"/>
    </row>
    <row r="83" spans="1:15" ht="15" customHeight="1" x14ac:dyDescent="0.25">
      <c r="A83" s="376"/>
      <c r="D83" s="380"/>
      <c r="E83" s="380"/>
      <c r="F83" s="374"/>
      <c r="G83" s="374"/>
      <c r="H83" s="374"/>
      <c r="I83" s="374"/>
      <c r="J83" s="374"/>
      <c r="K83" s="374"/>
      <c r="L83" s="374"/>
      <c r="M83" s="374"/>
      <c r="N83" s="374"/>
      <c r="O83" s="374"/>
    </row>
    <row r="84" spans="1:15" ht="15" customHeight="1" x14ac:dyDescent="0.25">
      <c r="A84" s="376"/>
      <c r="D84" s="380"/>
      <c r="E84" s="380"/>
      <c r="F84" s="374"/>
      <c r="G84" s="374"/>
      <c r="H84" s="374"/>
      <c r="I84" s="374"/>
      <c r="J84" s="374"/>
      <c r="K84" s="374"/>
      <c r="L84" s="374"/>
      <c r="M84" s="374"/>
      <c r="N84" s="374"/>
      <c r="O84" s="374"/>
    </row>
    <row r="85" spans="1:15" ht="15" customHeight="1" x14ac:dyDescent="0.25">
      <c r="A85" s="376"/>
      <c r="D85" s="380"/>
      <c r="E85" s="380"/>
      <c r="F85" s="374"/>
      <c r="G85" s="374"/>
      <c r="H85" s="374"/>
      <c r="I85" s="374"/>
      <c r="J85" s="374"/>
      <c r="K85" s="374"/>
      <c r="L85" s="374"/>
      <c r="M85" s="374"/>
      <c r="N85" s="374"/>
      <c r="O85" s="374"/>
    </row>
    <row r="86" spans="1:15" ht="15" customHeight="1" x14ac:dyDescent="0.25">
      <c r="A86" s="376"/>
      <c r="D86" s="380"/>
      <c r="E86" s="380"/>
      <c r="F86" s="374"/>
      <c r="G86" s="374"/>
      <c r="H86" s="374"/>
      <c r="I86" s="374"/>
      <c r="J86" s="374"/>
      <c r="K86" s="374"/>
      <c r="L86" s="374"/>
      <c r="M86" s="374"/>
      <c r="N86" s="374"/>
      <c r="O86" s="374"/>
    </row>
    <row r="87" spans="1:15" ht="15" customHeight="1" x14ac:dyDescent="0.25">
      <c r="A87" s="376"/>
      <c r="D87" s="380"/>
      <c r="E87" s="380"/>
      <c r="F87" s="374"/>
      <c r="G87" s="374"/>
      <c r="H87" s="374"/>
      <c r="I87" s="374"/>
      <c r="J87" s="374"/>
      <c r="K87" s="374"/>
      <c r="L87" s="374"/>
      <c r="M87" s="374"/>
      <c r="N87" s="374"/>
      <c r="O87" s="374"/>
    </row>
    <row r="88" spans="1:15" ht="15" customHeight="1" x14ac:dyDescent="0.25">
      <c r="B88" s="360"/>
      <c r="D88" s="380"/>
      <c r="E88" s="380"/>
      <c r="F88" s="374"/>
      <c r="G88" s="374"/>
      <c r="H88" s="374"/>
      <c r="I88" s="374"/>
      <c r="J88" s="374"/>
      <c r="K88" s="374"/>
      <c r="L88" s="374"/>
      <c r="M88" s="374"/>
      <c r="N88" s="374"/>
      <c r="O88" s="374"/>
    </row>
    <row r="89" spans="1:15" ht="15" customHeight="1" x14ac:dyDescent="0.25">
      <c r="B89" s="360"/>
      <c r="D89" s="380"/>
      <c r="E89" s="380"/>
      <c r="F89" s="374"/>
      <c r="G89" s="374"/>
      <c r="H89" s="374"/>
      <c r="I89" s="374"/>
      <c r="J89" s="374"/>
      <c r="K89" s="374"/>
      <c r="L89" s="374"/>
      <c r="M89" s="374"/>
      <c r="N89" s="374"/>
      <c r="O89" s="374"/>
    </row>
    <row r="90" spans="1:15" ht="15" customHeight="1" x14ac:dyDescent="0.25">
      <c r="B90" s="360"/>
      <c r="D90" s="380"/>
      <c r="E90" s="380"/>
      <c r="F90" s="374"/>
      <c r="G90" s="374"/>
      <c r="H90" s="374"/>
      <c r="I90" s="374"/>
      <c r="J90" s="374"/>
      <c r="K90" s="374"/>
      <c r="L90" s="374"/>
      <c r="M90" s="374"/>
      <c r="N90" s="374"/>
      <c r="O90" s="374"/>
    </row>
    <row r="91" spans="1:15" ht="15" customHeight="1" x14ac:dyDescent="0.25">
      <c r="A91" s="376"/>
      <c r="B91" s="360"/>
      <c r="D91" s="380"/>
      <c r="E91" s="380"/>
      <c r="F91" s="374"/>
      <c r="G91" s="374"/>
      <c r="H91" s="374"/>
      <c r="I91" s="374"/>
      <c r="J91" s="374"/>
      <c r="K91" s="374"/>
      <c r="L91" s="374"/>
      <c r="M91" s="374"/>
      <c r="N91" s="374"/>
      <c r="O91" s="374"/>
    </row>
    <row r="92" spans="1:15" ht="15" customHeight="1" x14ac:dyDescent="0.25">
      <c r="A92" s="376"/>
      <c r="B92" s="360"/>
      <c r="D92" s="380"/>
      <c r="E92" s="380"/>
      <c r="F92" s="374"/>
      <c r="G92" s="374"/>
      <c r="H92" s="374"/>
      <c r="I92" s="374"/>
      <c r="J92" s="374"/>
      <c r="K92" s="374"/>
      <c r="L92" s="374"/>
      <c r="M92" s="374"/>
      <c r="N92" s="374"/>
      <c r="O92" s="374"/>
    </row>
    <row r="93" spans="1:15" ht="15" customHeight="1" x14ac:dyDescent="0.25">
      <c r="A93" s="376"/>
      <c r="B93" s="360"/>
      <c r="D93" s="380"/>
      <c r="E93" s="380"/>
      <c r="F93" s="374"/>
      <c r="G93" s="374"/>
      <c r="H93" s="374"/>
      <c r="I93" s="374"/>
      <c r="J93" s="374"/>
      <c r="K93" s="374"/>
      <c r="L93" s="374"/>
      <c r="M93" s="374"/>
      <c r="N93" s="374"/>
      <c r="O93" s="374"/>
    </row>
    <row r="94" spans="1:15" ht="15" customHeight="1" x14ac:dyDescent="0.25">
      <c r="A94" s="376"/>
      <c r="B94" s="360"/>
      <c r="D94" s="380"/>
      <c r="E94" s="380"/>
      <c r="F94" s="374"/>
      <c r="G94" s="374"/>
      <c r="H94" s="374"/>
      <c r="I94" s="374"/>
      <c r="J94" s="374"/>
      <c r="K94" s="374"/>
      <c r="L94" s="374"/>
      <c r="M94" s="374"/>
      <c r="N94" s="374"/>
      <c r="O94" s="374"/>
    </row>
    <row r="95" spans="1:15" ht="15" customHeight="1" x14ac:dyDescent="0.25">
      <c r="A95" s="376"/>
      <c r="B95" s="360"/>
      <c r="D95" s="380"/>
      <c r="E95" s="380"/>
      <c r="F95" s="374"/>
      <c r="G95" s="374"/>
      <c r="H95" s="374"/>
      <c r="I95" s="374"/>
      <c r="J95" s="374"/>
      <c r="K95" s="374"/>
      <c r="L95" s="374"/>
      <c r="M95" s="374"/>
      <c r="N95" s="374"/>
      <c r="O95" s="374"/>
    </row>
    <row r="96" spans="1:15" ht="15" customHeight="1" x14ac:dyDescent="0.25">
      <c r="A96" s="376"/>
      <c r="B96" s="360"/>
      <c r="D96" s="380"/>
      <c r="E96" s="380"/>
      <c r="F96" s="374"/>
      <c r="G96" s="374"/>
      <c r="H96" s="374"/>
      <c r="I96" s="374"/>
      <c r="J96" s="374"/>
      <c r="K96" s="374"/>
      <c r="L96" s="374"/>
      <c r="M96" s="374"/>
      <c r="N96" s="374"/>
      <c r="O96" s="374"/>
    </row>
    <row r="97" spans="1:16" ht="15" customHeight="1" x14ac:dyDescent="0.25">
      <c r="A97" s="376"/>
      <c r="B97" s="360"/>
      <c r="D97" s="380"/>
      <c r="E97" s="380"/>
      <c r="F97" s="374"/>
      <c r="G97" s="374"/>
      <c r="H97" s="374"/>
      <c r="I97" s="374"/>
      <c r="J97" s="374"/>
      <c r="K97" s="374"/>
      <c r="L97" s="374"/>
      <c r="M97" s="374"/>
      <c r="N97" s="374"/>
      <c r="O97" s="374"/>
    </row>
    <row r="98" spans="1:16" ht="15" customHeight="1" x14ac:dyDescent="0.25">
      <c r="A98" s="376"/>
      <c r="B98" s="360"/>
      <c r="D98" s="380"/>
      <c r="E98" s="380"/>
      <c r="F98" s="374"/>
      <c r="G98" s="374"/>
      <c r="H98" s="374"/>
      <c r="I98" s="374"/>
      <c r="J98" s="374"/>
      <c r="K98" s="374"/>
      <c r="L98" s="374"/>
      <c r="M98" s="374"/>
      <c r="N98" s="374"/>
      <c r="O98" s="374"/>
    </row>
    <row r="99" spans="1:16" ht="15" customHeight="1" x14ac:dyDescent="0.25">
      <c r="B99" s="360"/>
      <c r="D99" s="380"/>
      <c r="E99" s="380"/>
      <c r="F99" s="374"/>
      <c r="G99" s="374"/>
      <c r="H99" s="374"/>
      <c r="I99" s="374"/>
      <c r="J99" s="374"/>
      <c r="K99" s="374"/>
      <c r="L99" s="374"/>
      <c r="M99" s="374"/>
      <c r="N99" s="374"/>
      <c r="O99" s="374"/>
    </row>
    <row r="100" spans="1:16" ht="15" customHeight="1" x14ac:dyDescent="0.25">
      <c r="C100" s="381"/>
      <c r="D100" s="382"/>
    </row>
    <row r="101" spans="1:16" s="375" customFormat="1" ht="15" customHeight="1" x14ac:dyDescent="0.25">
      <c r="A101" s="376"/>
      <c r="B101" s="373"/>
      <c r="C101" s="381"/>
      <c r="D101" s="382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</row>
    <row r="102" spans="1:16" s="375" customFormat="1" ht="15" customHeight="1" x14ac:dyDescent="0.25">
      <c r="A102" s="376"/>
      <c r="B102" s="373"/>
      <c r="C102" s="381"/>
      <c r="D102" s="382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</row>
    <row r="103" spans="1:16" s="375" customFormat="1" ht="15" customHeight="1" x14ac:dyDescent="0.25">
      <c r="A103" s="376"/>
      <c r="B103" s="373"/>
      <c r="C103" s="381"/>
      <c r="D103" s="382"/>
      <c r="F103" s="360"/>
      <c r="G103" s="360"/>
      <c r="H103" s="360"/>
      <c r="I103" s="360"/>
      <c r="J103" s="360"/>
      <c r="K103" s="360"/>
      <c r="L103" s="360"/>
      <c r="M103" s="360"/>
      <c r="N103" s="360"/>
      <c r="O103" s="360"/>
      <c r="P103" s="360"/>
    </row>
    <row r="104" spans="1:16" s="375" customFormat="1" ht="15" customHeight="1" x14ac:dyDescent="0.25">
      <c r="A104" s="376"/>
      <c r="B104" s="360"/>
      <c r="C104" s="381"/>
      <c r="D104" s="382"/>
      <c r="F104" s="360"/>
      <c r="G104" s="360"/>
      <c r="H104" s="360"/>
      <c r="I104" s="360"/>
      <c r="J104" s="360"/>
      <c r="K104" s="360"/>
      <c r="L104" s="360"/>
      <c r="M104" s="360"/>
      <c r="N104" s="360"/>
      <c r="O104" s="360"/>
      <c r="P104" s="360"/>
    </row>
    <row r="105" spans="1:16" s="375" customFormat="1" ht="15" customHeight="1" x14ac:dyDescent="0.25">
      <c r="A105" s="376"/>
      <c r="B105" s="360"/>
      <c r="C105" s="381"/>
      <c r="D105" s="382"/>
      <c r="F105" s="360"/>
      <c r="G105" s="360"/>
      <c r="H105" s="360"/>
      <c r="I105" s="360"/>
      <c r="J105" s="360"/>
      <c r="K105" s="360"/>
      <c r="L105" s="360"/>
      <c r="M105" s="360"/>
      <c r="N105" s="360"/>
      <c r="O105" s="360"/>
      <c r="P105" s="360"/>
    </row>
    <row r="106" spans="1:16" s="375" customFormat="1" ht="15" customHeight="1" x14ac:dyDescent="0.25">
      <c r="A106" s="376"/>
      <c r="B106" s="360"/>
      <c r="C106" s="381"/>
      <c r="D106" s="382"/>
      <c r="F106" s="360"/>
      <c r="G106" s="360"/>
      <c r="H106" s="360"/>
      <c r="I106" s="360"/>
      <c r="J106" s="360"/>
      <c r="K106" s="360"/>
      <c r="L106" s="360"/>
      <c r="M106" s="360"/>
      <c r="N106" s="360"/>
      <c r="O106" s="360"/>
      <c r="P106" s="360"/>
    </row>
    <row r="107" spans="1:16" s="375" customFormat="1" ht="15" customHeight="1" x14ac:dyDescent="0.25">
      <c r="A107" s="376"/>
      <c r="B107" s="373"/>
      <c r="C107" s="374"/>
      <c r="D107" s="382"/>
      <c r="F107" s="360"/>
      <c r="G107" s="360"/>
      <c r="H107" s="360"/>
      <c r="I107" s="360"/>
      <c r="J107" s="360"/>
      <c r="K107" s="360"/>
      <c r="L107" s="360"/>
      <c r="M107" s="360"/>
      <c r="N107" s="360"/>
      <c r="O107" s="360"/>
      <c r="P107" s="360"/>
    </row>
    <row r="108" spans="1:16" s="375" customFormat="1" ht="15" customHeight="1" x14ac:dyDescent="0.25">
      <c r="A108" s="376"/>
      <c r="B108" s="373"/>
      <c r="C108" s="374"/>
      <c r="D108" s="382"/>
      <c r="F108" s="360"/>
      <c r="G108" s="360"/>
      <c r="H108" s="360"/>
      <c r="I108" s="360"/>
      <c r="J108" s="360"/>
      <c r="K108" s="360"/>
      <c r="L108" s="360"/>
      <c r="M108" s="360"/>
      <c r="N108" s="360"/>
      <c r="O108" s="360"/>
      <c r="P108" s="360"/>
    </row>
    <row r="109" spans="1:16" s="375" customFormat="1" ht="15" customHeight="1" x14ac:dyDescent="0.25">
      <c r="A109" s="376"/>
      <c r="B109" s="373"/>
      <c r="C109" s="381"/>
      <c r="D109" s="382"/>
      <c r="F109" s="360"/>
      <c r="G109" s="360"/>
      <c r="H109" s="360"/>
      <c r="I109" s="360"/>
      <c r="J109" s="360"/>
      <c r="K109" s="360"/>
      <c r="L109" s="360"/>
      <c r="M109" s="360"/>
      <c r="N109" s="360"/>
      <c r="O109" s="360"/>
      <c r="P109" s="360"/>
    </row>
    <row r="110" spans="1:16" s="375" customFormat="1" ht="15" customHeight="1" x14ac:dyDescent="0.25">
      <c r="A110" s="376"/>
      <c r="B110" s="360"/>
      <c r="C110" s="381"/>
      <c r="D110" s="382"/>
      <c r="F110" s="360"/>
      <c r="G110" s="360"/>
      <c r="H110" s="360"/>
      <c r="I110" s="360"/>
      <c r="J110" s="360"/>
      <c r="K110" s="360"/>
      <c r="L110" s="360"/>
      <c r="M110" s="360"/>
      <c r="N110" s="360"/>
      <c r="O110" s="360"/>
      <c r="P110" s="360"/>
    </row>
    <row r="111" spans="1:16" s="375" customFormat="1" ht="15" customHeight="1" x14ac:dyDescent="0.25">
      <c r="A111" s="376"/>
      <c r="B111" s="373"/>
      <c r="C111" s="381"/>
      <c r="D111" s="382"/>
      <c r="F111" s="360"/>
      <c r="G111" s="360"/>
      <c r="H111" s="360"/>
      <c r="I111" s="360"/>
      <c r="J111" s="360"/>
      <c r="K111" s="360"/>
      <c r="L111" s="360"/>
      <c r="M111" s="360"/>
      <c r="N111" s="360"/>
      <c r="O111" s="360"/>
      <c r="P111" s="360"/>
    </row>
    <row r="112" spans="1:16" s="375" customFormat="1" ht="15" customHeight="1" x14ac:dyDescent="0.25">
      <c r="A112" s="376"/>
      <c r="B112" s="360"/>
      <c r="C112" s="381"/>
      <c r="D112" s="382"/>
      <c r="F112" s="360"/>
      <c r="G112" s="360"/>
      <c r="H112" s="360"/>
      <c r="I112" s="360"/>
      <c r="J112" s="360"/>
      <c r="K112" s="360"/>
      <c r="L112" s="360"/>
      <c r="M112" s="360"/>
      <c r="N112" s="360"/>
      <c r="O112" s="360"/>
      <c r="P112" s="360"/>
    </row>
    <row r="113" spans="1:16" s="375" customFormat="1" ht="15" customHeight="1" x14ac:dyDescent="0.25">
      <c r="A113" s="376"/>
      <c r="B113" s="373"/>
      <c r="C113" s="381"/>
      <c r="D113" s="382"/>
      <c r="F113" s="360"/>
      <c r="G113" s="360"/>
      <c r="H113" s="360"/>
      <c r="I113" s="360"/>
      <c r="J113" s="360"/>
      <c r="K113" s="360"/>
      <c r="L113" s="360"/>
      <c r="M113" s="360"/>
      <c r="N113" s="360"/>
      <c r="O113" s="360"/>
      <c r="P113" s="360"/>
    </row>
    <row r="114" spans="1:16" s="375" customFormat="1" ht="15" customHeight="1" x14ac:dyDescent="0.25">
      <c r="A114" s="376"/>
      <c r="B114" s="373"/>
      <c r="C114" s="381"/>
      <c r="D114" s="382"/>
      <c r="F114" s="360"/>
      <c r="G114" s="360"/>
      <c r="H114" s="360"/>
      <c r="I114" s="360"/>
      <c r="J114" s="360"/>
      <c r="K114" s="360"/>
      <c r="L114" s="360"/>
      <c r="M114" s="360"/>
      <c r="N114" s="360"/>
      <c r="O114" s="360"/>
      <c r="P114" s="360"/>
    </row>
    <row r="115" spans="1:16" s="375" customFormat="1" ht="15" customHeight="1" x14ac:dyDescent="0.25">
      <c r="A115" s="360"/>
      <c r="B115" s="373"/>
      <c r="C115" s="381"/>
      <c r="D115" s="382"/>
      <c r="F115" s="360"/>
      <c r="G115" s="360"/>
      <c r="H115" s="360"/>
      <c r="I115" s="360"/>
      <c r="J115" s="360"/>
      <c r="K115" s="360"/>
      <c r="L115" s="360"/>
      <c r="M115" s="360"/>
      <c r="N115" s="360"/>
      <c r="O115" s="360"/>
      <c r="P115" s="360"/>
    </row>
    <row r="116" spans="1:16" s="375" customFormat="1" ht="15" customHeight="1" x14ac:dyDescent="0.25">
      <c r="A116" s="360"/>
      <c r="B116" s="373"/>
      <c r="C116" s="381"/>
      <c r="D116" s="382"/>
      <c r="F116" s="360"/>
      <c r="G116" s="360"/>
      <c r="H116" s="360"/>
      <c r="I116" s="360"/>
      <c r="J116" s="360"/>
      <c r="K116" s="360"/>
      <c r="L116" s="360"/>
      <c r="M116" s="360"/>
      <c r="N116" s="360"/>
      <c r="O116" s="360"/>
      <c r="P116" s="360"/>
    </row>
    <row r="117" spans="1:16" ht="15" customHeight="1" x14ac:dyDescent="0.25">
      <c r="C117" s="381"/>
      <c r="D117" s="382"/>
    </row>
    <row r="118" spans="1:16" ht="15" customHeight="1" x14ac:dyDescent="0.25">
      <c r="C118" s="381"/>
      <c r="D118" s="382"/>
    </row>
    <row r="119" spans="1:16" ht="15" customHeight="1" x14ac:dyDescent="0.25">
      <c r="C119" s="381"/>
      <c r="D119" s="382"/>
    </row>
    <row r="120" spans="1:16" ht="15" customHeight="1" x14ac:dyDescent="0.25">
      <c r="C120" s="381"/>
      <c r="D120" s="382"/>
    </row>
    <row r="121" spans="1:16" ht="15" customHeight="1" x14ac:dyDescent="0.25">
      <c r="C121" s="381"/>
      <c r="D121" s="382"/>
    </row>
    <row r="122" spans="1:16" ht="15" customHeight="1" x14ac:dyDescent="0.25">
      <c r="C122" s="381"/>
      <c r="D122" s="382"/>
    </row>
    <row r="123" spans="1:16" ht="15" customHeight="1" x14ac:dyDescent="0.25">
      <c r="C123" s="381"/>
      <c r="D123" s="382"/>
    </row>
    <row r="124" spans="1:16" ht="15" customHeight="1" x14ac:dyDescent="0.25">
      <c r="C124" s="381"/>
      <c r="D124" s="382"/>
    </row>
    <row r="125" spans="1:16" ht="15" customHeight="1" x14ac:dyDescent="0.25">
      <c r="B125" s="360"/>
      <c r="C125" s="381"/>
      <c r="D125" s="382"/>
    </row>
    <row r="126" spans="1:16" ht="15" customHeight="1" x14ac:dyDescent="0.25">
      <c r="A126" s="383"/>
      <c r="B126" s="360"/>
      <c r="C126" s="384"/>
      <c r="D126" s="380"/>
      <c r="F126" s="385"/>
      <c r="G126" s="385"/>
      <c r="H126" s="385"/>
      <c r="I126" s="385"/>
      <c r="J126" s="385"/>
      <c r="K126" s="385"/>
      <c r="L126" s="385"/>
      <c r="M126" s="385"/>
      <c r="N126" s="385"/>
      <c r="O126" s="385"/>
    </row>
    <row r="127" spans="1:16" ht="15" customHeight="1" x14ac:dyDescent="0.25">
      <c r="A127" s="383"/>
      <c r="B127" s="386"/>
      <c r="C127" s="384"/>
      <c r="D127" s="380"/>
      <c r="E127" s="380"/>
      <c r="F127" s="387"/>
      <c r="G127" s="387"/>
      <c r="H127" s="387"/>
      <c r="I127" s="387"/>
      <c r="J127" s="387"/>
      <c r="K127" s="387"/>
      <c r="L127" s="387"/>
      <c r="M127" s="387"/>
      <c r="N127" s="387"/>
      <c r="O127" s="387"/>
    </row>
    <row r="128" spans="1:16" ht="15" customHeight="1" x14ac:dyDescent="0.25">
      <c r="A128" s="383"/>
      <c r="B128" s="386"/>
      <c r="C128" s="384"/>
      <c r="F128" s="385"/>
      <c r="G128" s="385"/>
      <c r="H128" s="385"/>
      <c r="I128" s="385"/>
      <c r="J128" s="385"/>
      <c r="K128" s="385"/>
      <c r="L128" s="385"/>
      <c r="M128" s="385"/>
      <c r="N128" s="385"/>
      <c r="O128" s="385"/>
    </row>
    <row r="129" spans="1:15" ht="15" customHeight="1" x14ac:dyDescent="0.25">
      <c r="A129" s="383"/>
      <c r="B129" s="386"/>
      <c r="C129" s="384"/>
      <c r="F129" s="385"/>
      <c r="G129" s="385"/>
      <c r="H129" s="385"/>
      <c r="I129" s="385"/>
      <c r="J129" s="385"/>
      <c r="K129" s="385"/>
      <c r="L129" s="385"/>
      <c r="M129" s="385"/>
      <c r="N129" s="385"/>
      <c r="O129" s="385"/>
    </row>
    <row r="130" spans="1:15" ht="15" customHeight="1" x14ac:dyDescent="0.25">
      <c r="A130" s="383"/>
      <c r="C130" s="384"/>
      <c r="F130" s="385"/>
      <c r="G130" s="385"/>
      <c r="H130" s="385"/>
      <c r="I130" s="385"/>
      <c r="J130" s="385"/>
      <c r="K130" s="385"/>
      <c r="L130" s="385"/>
      <c r="M130" s="385"/>
      <c r="N130" s="385"/>
      <c r="O130" s="385"/>
    </row>
    <row r="131" spans="1:15" ht="15" customHeight="1" x14ac:dyDescent="0.25">
      <c r="A131" s="383"/>
      <c r="C131" s="384"/>
      <c r="F131" s="385"/>
      <c r="G131" s="385"/>
      <c r="H131" s="385"/>
      <c r="I131" s="385"/>
      <c r="J131" s="385"/>
      <c r="K131" s="385"/>
      <c r="L131" s="385"/>
      <c r="M131" s="385"/>
      <c r="N131" s="385"/>
      <c r="O131" s="385"/>
    </row>
    <row r="132" spans="1:15" ht="15" customHeight="1" x14ac:dyDescent="0.25">
      <c r="A132" s="383"/>
      <c r="B132" s="388"/>
      <c r="C132" s="384"/>
      <c r="F132" s="385"/>
      <c r="G132" s="385"/>
      <c r="H132" s="385"/>
      <c r="I132" s="385"/>
      <c r="J132" s="385"/>
      <c r="K132" s="385"/>
      <c r="L132" s="385"/>
      <c r="M132" s="385"/>
      <c r="N132" s="385"/>
      <c r="O132" s="385"/>
    </row>
    <row r="133" spans="1:15" ht="15" customHeight="1" x14ac:dyDescent="0.25">
      <c r="A133" s="383"/>
      <c r="C133" s="384"/>
      <c r="F133" s="385"/>
      <c r="G133" s="385"/>
      <c r="H133" s="385"/>
      <c r="I133" s="385"/>
      <c r="J133" s="385"/>
      <c r="K133" s="385"/>
      <c r="L133" s="385"/>
      <c r="M133" s="385"/>
      <c r="N133" s="385"/>
      <c r="O133" s="385"/>
    </row>
    <row r="134" spans="1:15" ht="15" customHeight="1" x14ac:dyDescent="0.25">
      <c r="A134" s="383"/>
      <c r="B134" s="386"/>
      <c r="C134" s="384"/>
      <c r="F134" s="385"/>
      <c r="G134" s="385"/>
      <c r="H134" s="385"/>
      <c r="I134" s="385"/>
      <c r="J134" s="385"/>
      <c r="K134" s="385"/>
      <c r="L134" s="385"/>
      <c r="M134" s="385"/>
      <c r="N134" s="385"/>
      <c r="O134" s="385"/>
    </row>
    <row r="135" spans="1:15" ht="15" customHeight="1" x14ac:dyDescent="0.25">
      <c r="A135" s="383"/>
      <c r="B135" s="386"/>
      <c r="C135" s="384"/>
      <c r="F135" s="385"/>
      <c r="G135" s="385"/>
      <c r="H135" s="385"/>
      <c r="I135" s="385"/>
      <c r="J135" s="385"/>
      <c r="K135" s="385"/>
      <c r="L135" s="385"/>
      <c r="M135" s="385"/>
      <c r="N135" s="385"/>
      <c r="O135" s="385"/>
    </row>
    <row r="136" spans="1:15" ht="15" customHeight="1" x14ac:dyDescent="0.25">
      <c r="A136" s="383"/>
      <c r="B136" s="386"/>
      <c r="C136" s="384"/>
      <c r="F136" s="385"/>
      <c r="G136" s="385"/>
      <c r="H136" s="385"/>
      <c r="I136" s="385"/>
      <c r="J136" s="385"/>
      <c r="K136" s="385"/>
      <c r="L136" s="385"/>
      <c r="M136" s="385"/>
      <c r="N136" s="385"/>
      <c r="O136" s="385"/>
    </row>
    <row r="137" spans="1:15" ht="15" customHeight="1" x14ac:dyDescent="0.25">
      <c r="A137" s="383"/>
      <c r="B137" s="386"/>
      <c r="C137" s="384"/>
      <c r="F137" s="385"/>
      <c r="G137" s="385"/>
      <c r="H137" s="385"/>
      <c r="I137" s="385"/>
      <c r="J137" s="385"/>
      <c r="K137" s="385"/>
      <c r="L137" s="385"/>
      <c r="M137" s="385"/>
      <c r="N137" s="385"/>
      <c r="O137" s="385"/>
    </row>
    <row r="138" spans="1:15" ht="15" customHeight="1" x14ac:dyDescent="0.25">
      <c r="A138" s="383"/>
      <c r="B138" s="386"/>
      <c r="C138" s="384"/>
      <c r="F138" s="385"/>
      <c r="G138" s="385"/>
      <c r="H138" s="385"/>
      <c r="I138" s="385"/>
      <c r="J138" s="385"/>
      <c r="K138" s="385"/>
      <c r="L138" s="385"/>
      <c r="M138" s="385"/>
      <c r="N138" s="385"/>
      <c r="O138" s="385"/>
    </row>
    <row r="139" spans="1:15" ht="15" customHeight="1" x14ac:dyDescent="0.25">
      <c r="A139" s="383"/>
      <c r="B139" s="386"/>
      <c r="C139" s="384"/>
      <c r="F139" s="385"/>
      <c r="G139" s="385"/>
      <c r="H139" s="385"/>
      <c r="I139" s="385"/>
      <c r="J139" s="385"/>
      <c r="K139" s="385"/>
      <c r="L139" s="385"/>
      <c r="M139" s="385"/>
      <c r="N139" s="385"/>
      <c r="O139" s="385"/>
    </row>
    <row r="140" spans="1:15" ht="15" customHeight="1" x14ac:dyDescent="0.25">
      <c r="C140" s="384"/>
      <c r="F140" s="385"/>
      <c r="G140" s="385"/>
      <c r="H140" s="385"/>
      <c r="I140" s="385"/>
      <c r="J140" s="385"/>
      <c r="K140" s="385"/>
      <c r="L140" s="385"/>
      <c r="M140" s="385"/>
      <c r="N140" s="385"/>
      <c r="O140" s="385"/>
    </row>
    <row r="141" spans="1:15" ht="15" customHeight="1" x14ac:dyDescent="0.25">
      <c r="B141" s="386"/>
      <c r="C141" s="384"/>
      <c r="F141" s="385"/>
      <c r="G141" s="385"/>
      <c r="H141" s="385"/>
      <c r="I141" s="385"/>
      <c r="J141" s="385"/>
      <c r="K141" s="385"/>
      <c r="L141" s="385"/>
      <c r="M141" s="385"/>
      <c r="N141" s="385"/>
      <c r="O141" s="385"/>
    </row>
    <row r="142" spans="1:15" ht="15" customHeight="1" x14ac:dyDescent="0.25">
      <c r="B142" s="386"/>
      <c r="C142" s="384"/>
      <c r="F142" s="385"/>
      <c r="G142" s="385"/>
      <c r="H142" s="385"/>
      <c r="I142" s="385"/>
      <c r="J142" s="385"/>
      <c r="K142" s="385"/>
      <c r="L142" s="385"/>
      <c r="M142" s="385"/>
      <c r="N142" s="385"/>
      <c r="O142" s="385"/>
    </row>
    <row r="143" spans="1:15" ht="15" customHeight="1" x14ac:dyDescent="0.25">
      <c r="B143" s="386"/>
      <c r="C143" s="384"/>
      <c r="F143" s="385"/>
      <c r="G143" s="385"/>
      <c r="H143" s="385"/>
      <c r="I143" s="385"/>
      <c r="J143" s="385"/>
      <c r="K143" s="385"/>
      <c r="L143" s="385"/>
      <c r="M143" s="385"/>
      <c r="N143" s="385"/>
      <c r="O143" s="385"/>
    </row>
    <row r="144" spans="1:15" ht="15" customHeight="1" x14ac:dyDescent="0.25">
      <c r="B144" s="388"/>
      <c r="C144" s="384"/>
      <c r="F144" s="385"/>
      <c r="G144" s="385"/>
      <c r="H144" s="385"/>
      <c r="I144" s="385"/>
      <c r="J144" s="385"/>
      <c r="K144" s="385"/>
      <c r="L144" s="385"/>
      <c r="M144" s="385"/>
      <c r="N144" s="385"/>
      <c r="O144" s="385"/>
    </row>
    <row r="145" spans="2:15" ht="15" customHeight="1" x14ac:dyDescent="0.25">
      <c r="B145" s="386"/>
      <c r="C145" s="384"/>
      <c r="F145" s="385"/>
      <c r="G145" s="385"/>
      <c r="H145" s="385"/>
      <c r="I145" s="385"/>
      <c r="J145" s="385"/>
      <c r="K145" s="385"/>
      <c r="L145" s="385"/>
      <c r="M145" s="385"/>
      <c r="N145" s="385"/>
      <c r="O145" s="385"/>
    </row>
    <row r="146" spans="2:15" ht="15" customHeight="1" x14ac:dyDescent="0.25">
      <c r="B146" s="386"/>
      <c r="C146" s="384"/>
      <c r="F146" s="385"/>
      <c r="G146" s="385"/>
      <c r="H146" s="385"/>
      <c r="I146" s="385"/>
      <c r="J146" s="385"/>
      <c r="K146" s="385"/>
      <c r="L146" s="385"/>
      <c r="M146" s="385"/>
      <c r="N146" s="385"/>
      <c r="O146" s="385"/>
    </row>
    <row r="147" spans="2:15" ht="15" customHeight="1" x14ac:dyDescent="0.25">
      <c r="B147" s="386"/>
      <c r="C147" s="384"/>
      <c r="F147" s="385"/>
      <c r="G147" s="385"/>
      <c r="H147" s="385"/>
      <c r="I147" s="385"/>
      <c r="J147" s="385"/>
      <c r="K147" s="385"/>
      <c r="L147" s="385"/>
      <c r="M147" s="385"/>
      <c r="N147" s="385"/>
      <c r="O147" s="385"/>
    </row>
    <row r="148" spans="2:15" ht="15" customHeight="1" x14ac:dyDescent="0.25">
      <c r="B148" s="386"/>
      <c r="C148" s="384"/>
      <c r="F148" s="385"/>
      <c r="G148" s="385"/>
      <c r="H148" s="385"/>
      <c r="I148" s="385"/>
      <c r="J148" s="385"/>
      <c r="K148" s="385"/>
      <c r="L148" s="385"/>
      <c r="M148" s="385"/>
      <c r="N148" s="385"/>
      <c r="O148" s="385"/>
    </row>
    <row r="149" spans="2:15" ht="15" customHeight="1" x14ac:dyDescent="0.25">
      <c r="B149" s="386"/>
      <c r="C149" s="384"/>
      <c r="F149" s="385"/>
      <c r="G149" s="385"/>
      <c r="H149" s="385"/>
      <c r="I149" s="385"/>
      <c r="J149" s="385"/>
      <c r="K149" s="385"/>
      <c r="L149" s="385"/>
      <c r="M149" s="385"/>
      <c r="N149" s="385"/>
      <c r="O149" s="385"/>
    </row>
    <row r="150" spans="2:15" ht="15" customHeight="1" x14ac:dyDescent="0.25">
      <c r="B150" s="386"/>
      <c r="C150" s="384"/>
      <c r="F150" s="385"/>
      <c r="G150" s="385"/>
      <c r="H150" s="385"/>
      <c r="I150" s="385"/>
      <c r="J150" s="385"/>
      <c r="K150" s="385"/>
      <c r="L150" s="385"/>
      <c r="M150" s="385"/>
      <c r="N150" s="385"/>
      <c r="O150" s="385"/>
    </row>
    <row r="151" spans="2:15" ht="15" customHeight="1" x14ac:dyDescent="0.25">
      <c r="B151" s="386"/>
      <c r="C151" s="384"/>
      <c r="F151" s="385"/>
      <c r="G151" s="385"/>
      <c r="H151" s="385"/>
      <c r="I151" s="385"/>
      <c r="J151" s="385"/>
      <c r="K151" s="385"/>
      <c r="L151" s="385"/>
      <c r="M151" s="385"/>
      <c r="N151" s="385"/>
      <c r="O151" s="385"/>
    </row>
    <row r="152" spans="2:15" ht="15" customHeight="1" x14ac:dyDescent="0.25">
      <c r="B152" s="386"/>
      <c r="C152" s="384"/>
      <c r="F152" s="385"/>
      <c r="G152" s="385"/>
      <c r="H152" s="385"/>
      <c r="I152" s="385"/>
      <c r="J152" s="385"/>
      <c r="K152" s="385"/>
      <c r="L152" s="385"/>
      <c r="M152" s="385"/>
      <c r="N152" s="385"/>
      <c r="O152" s="385"/>
    </row>
    <row r="153" spans="2:15" ht="15" customHeight="1" x14ac:dyDescent="0.25">
      <c r="B153" s="389"/>
      <c r="C153" s="384"/>
      <c r="F153" s="385"/>
      <c r="G153" s="385"/>
      <c r="H153" s="385"/>
      <c r="I153" s="385"/>
      <c r="J153" s="385"/>
      <c r="K153" s="385"/>
      <c r="L153" s="385"/>
      <c r="M153" s="385"/>
      <c r="N153" s="385"/>
      <c r="O153" s="385"/>
    </row>
    <row r="154" spans="2:15" ht="15" customHeight="1" x14ac:dyDescent="0.25">
      <c r="C154" s="384"/>
      <c r="F154" s="385"/>
      <c r="G154" s="385"/>
      <c r="H154" s="385"/>
      <c r="I154" s="385"/>
      <c r="J154" s="385"/>
      <c r="K154" s="385"/>
      <c r="L154" s="385"/>
      <c r="M154" s="385"/>
      <c r="N154" s="385"/>
      <c r="O154" s="385"/>
    </row>
    <row r="155" spans="2:15" ht="15" customHeight="1" x14ac:dyDescent="0.25">
      <c r="B155" s="389"/>
      <c r="C155" s="384"/>
      <c r="F155" s="385"/>
      <c r="G155" s="385"/>
      <c r="H155" s="385"/>
      <c r="I155" s="385"/>
      <c r="J155" s="385"/>
      <c r="K155" s="385"/>
      <c r="L155" s="385"/>
      <c r="M155" s="385"/>
      <c r="N155" s="385"/>
      <c r="O155" s="385"/>
    </row>
    <row r="156" spans="2:15" ht="15" customHeight="1" x14ac:dyDescent="0.25">
      <c r="C156" s="384"/>
      <c r="F156" s="385"/>
      <c r="G156" s="385"/>
      <c r="H156" s="385"/>
      <c r="I156" s="385"/>
      <c r="J156" s="385"/>
      <c r="K156" s="385"/>
      <c r="L156" s="385"/>
      <c r="M156" s="385"/>
      <c r="N156" s="385"/>
      <c r="O156" s="385"/>
    </row>
    <row r="157" spans="2:15" ht="15" customHeight="1" x14ac:dyDescent="0.25">
      <c r="B157" s="386"/>
      <c r="C157" s="384"/>
      <c r="F157" s="385"/>
      <c r="G157" s="385"/>
      <c r="H157" s="385"/>
      <c r="I157" s="385"/>
      <c r="J157" s="385"/>
      <c r="K157" s="385"/>
      <c r="L157" s="385"/>
      <c r="M157" s="385"/>
      <c r="N157" s="385"/>
      <c r="O157" s="385"/>
    </row>
    <row r="158" spans="2:15" ht="15" customHeight="1" x14ac:dyDescent="0.25">
      <c r="B158" s="386"/>
      <c r="C158" s="384"/>
      <c r="F158" s="385"/>
      <c r="G158" s="385"/>
      <c r="H158" s="385"/>
      <c r="I158" s="385"/>
      <c r="J158" s="385"/>
      <c r="K158" s="385"/>
      <c r="L158" s="385"/>
      <c r="M158" s="385"/>
      <c r="N158" s="385"/>
      <c r="O158" s="385"/>
    </row>
    <row r="159" spans="2:15" ht="15" customHeight="1" x14ac:dyDescent="0.25">
      <c r="B159" s="386"/>
      <c r="C159" s="384"/>
      <c r="F159" s="385"/>
      <c r="G159" s="385"/>
      <c r="H159" s="385"/>
      <c r="I159" s="385"/>
      <c r="J159" s="385"/>
      <c r="K159" s="385"/>
      <c r="L159" s="385"/>
      <c r="M159" s="385"/>
      <c r="N159" s="385"/>
      <c r="O159" s="385"/>
    </row>
    <row r="160" spans="2:15" ht="15" customHeight="1" x14ac:dyDescent="0.25">
      <c r="B160" s="389"/>
      <c r="C160" s="384"/>
      <c r="F160" s="385"/>
      <c r="G160" s="385"/>
      <c r="H160" s="385"/>
      <c r="I160" s="385"/>
      <c r="J160" s="385"/>
      <c r="K160" s="385"/>
      <c r="L160" s="385"/>
      <c r="M160" s="385"/>
      <c r="N160" s="385"/>
      <c r="O160" s="385"/>
    </row>
    <row r="161" spans="1:15" ht="15" customHeight="1" x14ac:dyDescent="0.25">
      <c r="C161" s="384"/>
      <c r="F161" s="385"/>
      <c r="G161" s="385"/>
      <c r="H161" s="385"/>
      <c r="I161" s="385"/>
      <c r="J161" s="385"/>
      <c r="K161" s="385"/>
      <c r="L161" s="385"/>
      <c r="M161" s="385"/>
      <c r="N161" s="385"/>
      <c r="O161" s="385"/>
    </row>
    <row r="162" spans="1:15" ht="15" customHeight="1" x14ac:dyDescent="0.25">
      <c r="B162" s="386"/>
      <c r="C162" s="384"/>
      <c r="F162" s="385"/>
      <c r="G162" s="385"/>
      <c r="H162" s="385"/>
      <c r="I162" s="385"/>
      <c r="J162" s="385"/>
      <c r="K162" s="385"/>
      <c r="L162" s="385"/>
      <c r="M162" s="385"/>
      <c r="N162" s="385"/>
      <c r="O162" s="385"/>
    </row>
    <row r="163" spans="1:15" ht="15" customHeight="1" x14ac:dyDescent="0.25">
      <c r="B163" s="386"/>
      <c r="C163" s="384"/>
      <c r="F163" s="385"/>
      <c r="G163" s="385"/>
      <c r="H163" s="385"/>
      <c r="I163" s="385"/>
      <c r="J163" s="385"/>
      <c r="K163" s="385"/>
      <c r="L163" s="385"/>
      <c r="M163" s="385"/>
      <c r="N163" s="385"/>
      <c r="O163" s="385"/>
    </row>
    <row r="164" spans="1:15" ht="15" customHeight="1" x14ac:dyDescent="0.25">
      <c r="B164" s="389"/>
      <c r="C164" s="384"/>
      <c r="F164" s="385"/>
      <c r="G164" s="385"/>
      <c r="H164" s="385"/>
      <c r="I164" s="385"/>
      <c r="J164" s="385"/>
      <c r="K164" s="385"/>
      <c r="L164" s="385"/>
      <c r="M164" s="385"/>
      <c r="N164" s="385"/>
      <c r="O164" s="385"/>
    </row>
    <row r="165" spans="1:15" ht="15" customHeight="1" x14ac:dyDescent="0.25">
      <c r="C165" s="384"/>
      <c r="F165" s="385"/>
      <c r="G165" s="385"/>
      <c r="H165" s="385"/>
      <c r="I165" s="385"/>
      <c r="J165" s="385"/>
      <c r="K165" s="385"/>
      <c r="L165" s="385"/>
      <c r="M165" s="385"/>
      <c r="N165" s="385"/>
      <c r="O165" s="385"/>
    </row>
    <row r="166" spans="1:15" ht="15" customHeight="1" x14ac:dyDescent="0.25">
      <c r="B166" s="388"/>
      <c r="C166" s="390"/>
      <c r="F166" s="385"/>
      <c r="G166" s="385"/>
      <c r="H166" s="385"/>
      <c r="I166" s="385"/>
      <c r="J166" s="385"/>
      <c r="K166" s="385"/>
      <c r="L166" s="385"/>
      <c r="M166" s="385"/>
      <c r="N166" s="385"/>
      <c r="O166" s="385"/>
    </row>
    <row r="167" spans="1:15" ht="15" customHeight="1" x14ac:dyDescent="0.25">
      <c r="B167" s="389"/>
      <c r="C167" s="384"/>
      <c r="F167" s="385"/>
      <c r="G167" s="385"/>
      <c r="H167" s="385"/>
      <c r="I167" s="385"/>
      <c r="J167" s="385"/>
      <c r="K167" s="385"/>
      <c r="L167" s="385"/>
      <c r="M167" s="385"/>
      <c r="N167" s="385"/>
      <c r="O167" s="385"/>
    </row>
    <row r="168" spans="1:15" ht="15" customHeight="1" x14ac:dyDescent="0.25">
      <c r="B168" s="389"/>
      <c r="C168" s="384"/>
      <c r="F168" s="385"/>
      <c r="G168" s="385"/>
      <c r="H168" s="385"/>
      <c r="I168" s="385"/>
      <c r="J168" s="385"/>
      <c r="K168" s="385"/>
      <c r="L168" s="385"/>
      <c r="M168" s="385"/>
      <c r="N168" s="385"/>
      <c r="O168" s="385"/>
    </row>
    <row r="169" spans="1:15" ht="15" customHeight="1" x14ac:dyDescent="0.25">
      <c r="C169" s="384"/>
      <c r="F169" s="385"/>
      <c r="G169" s="385"/>
      <c r="H169" s="385"/>
      <c r="I169" s="385"/>
      <c r="J169" s="385"/>
      <c r="K169" s="385"/>
      <c r="L169" s="385"/>
      <c r="M169" s="385"/>
      <c r="N169" s="385"/>
      <c r="O169" s="385"/>
    </row>
    <row r="170" spans="1:15" ht="15" customHeight="1" x14ac:dyDescent="0.25">
      <c r="F170" s="385"/>
      <c r="G170" s="385"/>
      <c r="H170" s="385"/>
      <c r="I170" s="385"/>
      <c r="J170" s="385"/>
      <c r="K170" s="385"/>
      <c r="L170" s="385"/>
      <c r="M170" s="385"/>
      <c r="N170" s="385"/>
      <c r="O170" s="385"/>
    </row>
    <row r="171" spans="1:15" ht="15" customHeight="1" x14ac:dyDescent="0.25">
      <c r="C171" s="390"/>
      <c r="F171" s="391"/>
      <c r="G171" s="391"/>
      <c r="H171" s="391"/>
      <c r="I171" s="391"/>
      <c r="J171" s="391"/>
      <c r="K171" s="391"/>
      <c r="L171" s="391"/>
      <c r="M171" s="391"/>
      <c r="N171" s="391"/>
      <c r="O171" s="391"/>
    </row>
    <row r="172" spans="1:15" ht="15" customHeight="1" x14ac:dyDescent="0.25">
      <c r="C172" s="390"/>
      <c r="F172" s="391"/>
      <c r="G172" s="391"/>
      <c r="H172" s="391"/>
      <c r="I172" s="391"/>
      <c r="J172" s="391"/>
      <c r="K172" s="391"/>
      <c r="L172" s="391"/>
      <c r="M172" s="391"/>
      <c r="N172" s="391"/>
      <c r="O172" s="391"/>
    </row>
    <row r="173" spans="1:15" ht="15" customHeight="1" x14ac:dyDescent="0.25"/>
    <row r="174" spans="1:15" ht="15" customHeight="1" x14ac:dyDescent="0.25">
      <c r="A174" s="381"/>
      <c r="C174" s="381"/>
      <c r="D174" s="382"/>
    </row>
    <row r="175" spans="1:15" ht="15" customHeight="1" x14ac:dyDescent="0.25">
      <c r="B175" s="386"/>
      <c r="C175" s="384"/>
      <c r="D175" s="380"/>
      <c r="F175" s="385"/>
      <c r="G175" s="385"/>
      <c r="H175" s="385"/>
      <c r="I175" s="385"/>
      <c r="J175" s="385"/>
      <c r="K175" s="385"/>
      <c r="L175" s="385"/>
      <c r="M175" s="385"/>
      <c r="N175" s="385"/>
      <c r="O175" s="385"/>
    </row>
    <row r="176" spans="1:15" ht="15" customHeight="1" x14ac:dyDescent="0.25">
      <c r="B176" s="386"/>
      <c r="C176" s="384"/>
      <c r="D176" s="380"/>
      <c r="E176" s="380"/>
      <c r="F176" s="387"/>
      <c r="G176" s="387"/>
      <c r="H176" s="387"/>
      <c r="I176" s="387"/>
      <c r="J176" s="387"/>
      <c r="K176" s="387"/>
      <c r="L176" s="387"/>
      <c r="M176" s="387"/>
      <c r="N176" s="387"/>
      <c r="O176" s="387"/>
    </row>
    <row r="177" spans="2:15" ht="15" customHeight="1" x14ac:dyDescent="0.25">
      <c r="B177" s="386"/>
      <c r="C177" s="384"/>
      <c r="F177" s="385"/>
      <c r="G177" s="385"/>
      <c r="H177" s="385"/>
      <c r="I177" s="385"/>
      <c r="J177" s="385"/>
      <c r="K177" s="385"/>
      <c r="L177" s="385"/>
      <c r="M177" s="385"/>
      <c r="N177" s="385"/>
      <c r="O177" s="385"/>
    </row>
    <row r="178" spans="2:15" ht="15" customHeight="1" x14ac:dyDescent="0.25">
      <c r="B178" s="386"/>
      <c r="C178" s="384"/>
      <c r="F178" s="385"/>
      <c r="G178" s="385"/>
      <c r="H178" s="385"/>
      <c r="I178" s="385"/>
      <c r="J178" s="385"/>
      <c r="K178" s="385"/>
      <c r="L178" s="385"/>
      <c r="M178" s="385"/>
      <c r="N178" s="385"/>
      <c r="O178" s="385"/>
    </row>
    <row r="179" spans="2:15" ht="15" customHeight="1" x14ac:dyDescent="0.25">
      <c r="B179" s="386"/>
      <c r="C179" s="384"/>
      <c r="F179" s="385"/>
      <c r="G179" s="385"/>
      <c r="H179" s="385"/>
      <c r="I179" s="385"/>
      <c r="J179" s="385"/>
      <c r="K179" s="385"/>
      <c r="L179" s="385"/>
      <c r="M179" s="385"/>
      <c r="N179" s="385"/>
      <c r="O179" s="385"/>
    </row>
    <row r="180" spans="2:15" ht="15" customHeight="1" x14ac:dyDescent="0.25">
      <c r="B180" s="386"/>
      <c r="C180" s="384"/>
      <c r="F180" s="385"/>
      <c r="G180" s="385"/>
      <c r="H180" s="385"/>
      <c r="I180" s="385"/>
      <c r="J180" s="385"/>
      <c r="K180" s="385"/>
      <c r="L180" s="385"/>
      <c r="M180" s="385"/>
      <c r="N180" s="385"/>
      <c r="O180" s="385"/>
    </row>
    <row r="181" spans="2:15" ht="15" customHeight="1" x14ac:dyDescent="0.25">
      <c r="B181" s="388"/>
      <c r="C181" s="384"/>
      <c r="F181" s="385"/>
      <c r="G181" s="385"/>
      <c r="H181" s="385"/>
      <c r="I181" s="385"/>
      <c r="J181" s="385"/>
      <c r="K181" s="385"/>
      <c r="L181" s="385"/>
      <c r="M181" s="385"/>
      <c r="N181" s="385"/>
      <c r="O181" s="385"/>
    </row>
    <row r="182" spans="2:15" ht="15" customHeight="1" x14ac:dyDescent="0.25">
      <c r="C182" s="384"/>
      <c r="F182" s="385"/>
      <c r="G182" s="385"/>
      <c r="H182" s="385"/>
      <c r="I182" s="385"/>
      <c r="J182" s="385"/>
      <c r="K182" s="385"/>
      <c r="L182" s="385"/>
      <c r="M182" s="385"/>
      <c r="N182" s="385"/>
      <c r="O182" s="385"/>
    </row>
    <row r="183" spans="2:15" ht="15" customHeight="1" x14ac:dyDescent="0.25">
      <c r="B183" s="386"/>
      <c r="C183" s="384"/>
      <c r="F183" s="385"/>
      <c r="G183" s="385"/>
      <c r="H183" s="385"/>
      <c r="I183" s="385"/>
      <c r="J183" s="385"/>
      <c r="K183" s="385"/>
      <c r="L183" s="385"/>
      <c r="M183" s="385"/>
      <c r="N183" s="385"/>
      <c r="O183" s="385"/>
    </row>
    <row r="184" spans="2:15" ht="15" customHeight="1" x14ac:dyDescent="0.25">
      <c r="B184" s="386"/>
      <c r="C184" s="384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</row>
    <row r="185" spans="2:15" ht="15" customHeight="1" x14ac:dyDescent="0.25">
      <c r="B185" s="386"/>
      <c r="C185" s="384"/>
      <c r="F185" s="385"/>
      <c r="G185" s="385"/>
      <c r="H185" s="385"/>
      <c r="I185" s="385"/>
      <c r="J185" s="385"/>
      <c r="K185" s="385"/>
      <c r="L185" s="385"/>
      <c r="M185" s="385"/>
      <c r="N185" s="385"/>
      <c r="O185" s="385"/>
    </row>
    <row r="186" spans="2:15" ht="15" customHeight="1" x14ac:dyDescent="0.25">
      <c r="B186" s="386"/>
      <c r="C186" s="384"/>
      <c r="F186" s="385"/>
      <c r="G186" s="385"/>
      <c r="H186" s="385"/>
      <c r="I186" s="385"/>
      <c r="J186" s="385"/>
      <c r="K186" s="385"/>
      <c r="L186" s="385"/>
      <c r="M186" s="385"/>
      <c r="N186" s="385"/>
      <c r="O186" s="385"/>
    </row>
    <row r="187" spans="2:15" ht="15" customHeight="1" x14ac:dyDescent="0.25">
      <c r="C187" s="384"/>
      <c r="F187" s="385"/>
      <c r="G187" s="385"/>
      <c r="H187" s="385"/>
      <c r="I187" s="385"/>
      <c r="J187" s="385"/>
      <c r="K187" s="385"/>
      <c r="L187" s="385"/>
      <c r="M187" s="385"/>
      <c r="N187" s="385"/>
      <c r="O187" s="385"/>
    </row>
    <row r="188" spans="2:15" ht="15" customHeight="1" x14ac:dyDescent="0.25">
      <c r="B188" s="386"/>
      <c r="C188" s="384"/>
      <c r="F188" s="385"/>
      <c r="G188" s="385"/>
      <c r="H188" s="385"/>
      <c r="I188" s="385"/>
      <c r="J188" s="385"/>
      <c r="K188" s="385"/>
      <c r="L188" s="385"/>
      <c r="M188" s="385"/>
      <c r="N188" s="385"/>
      <c r="O188" s="385"/>
    </row>
    <row r="189" spans="2:15" ht="15" customHeight="1" x14ac:dyDescent="0.25">
      <c r="B189" s="386"/>
      <c r="C189" s="384"/>
      <c r="F189" s="385"/>
      <c r="G189" s="385"/>
      <c r="H189" s="385"/>
      <c r="I189" s="385"/>
      <c r="J189" s="385"/>
      <c r="K189" s="385"/>
      <c r="L189" s="385"/>
      <c r="M189" s="385"/>
      <c r="N189" s="385"/>
      <c r="O189" s="385"/>
    </row>
    <row r="190" spans="2:15" ht="15" customHeight="1" x14ac:dyDescent="0.25">
      <c r="B190" s="386"/>
      <c r="C190" s="384"/>
      <c r="F190" s="385"/>
      <c r="G190" s="385"/>
      <c r="H190" s="385"/>
      <c r="I190" s="385"/>
      <c r="J190" s="385"/>
      <c r="K190" s="385"/>
      <c r="L190" s="385"/>
      <c r="M190" s="385"/>
      <c r="N190" s="385"/>
      <c r="O190" s="385"/>
    </row>
    <row r="191" spans="2:15" ht="15" customHeight="1" x14ac:dyDescent="0.25">
      <c r="B191" s="388"/>
      <c r="C191" s="384"/>
      <c r="F191" s="385"/>
      <c r="G191" s="385"/>
      <c r="H191" s="385"/>
      <c r="I191" s="385"/>
      <c r="J191" s="385"/>
      <c r="K191" s="385"/>
      <c r="L191" s="385"/>
      <c r="M191" s="385"/>
      <c r="N191" s="385"/>
      <c r="O191" s="385"/>
    </row>
    <row r="192" spans="2:15" ht="15" customHeight="1" x14ac:dyDescent="0.25">
      <c r="B192" s="386"/>
      <c r="C192" s="384"/>
      <c r="F192" s="385"/>
      <c r="G192" s="385"/>
      <c r="H192" s="385"/>
      <c r="I192" s="385"/>
      <c r="J192" s="385"/>
      <c r="K192" s="385"/>
      <c r="L192" s="385"/>
      <c r="M192" s="385"/>
      <c r="N192" s="385"/>
      <c r="O192" s="385"/>
    </row>
    <row r="193" spans="2:15" ht="15" customHeight="1" x14ac:dyDescent="0.25">
      <c r="B193" s="386"/>
      <c r="C193" s="384"/>
      <c r="F193" s="385"/>
      <c r="G193" s="385"/>
      <c r="H193" s="385"/>
      <c r="I193" s="385"/>
      <c r="J193" s="385"/>
      <c r="K193" s="385"/>
      <c r="L193" s="385"/>
      <c r="M193" s="385"/>
      <c r="N193" s="385"/>
      <c r="O193" s="385"/>
    </row>
    <row r="194" spans="2:15" ht="15" customHeight="1" x14ac:dyDescent="0.25">
      <c r="B194" s="386"/>
      <c r="C194" s="384"/>
      <c r="F194" s="385"/>
      <c r="G194" s="385"/>
      <c r="H194" s="385"/>
      <c r="I194" s="385"/>
      <c r="J194" s="385"/>
      <c r="K194" s="385"/>
      <c r="L194" s="385"/>
      <c r="M194" s="385"/>
      <c r="N194" s="385"/>
      <c r="O194" s="385"/>
    </row>
    <row r="195" spans="2:15" ht="15" customHeight="1" x14ac:dyDescent="0.25">
      <c r="B195" s="386"/>
      <c r="C195" s="384"/>
      <c r="F195" s="385"/>
      <c r="G195" s="385"/>
      <c r="H195" s="385"/>
      <c r="I195" s="385"/>
      <c r="J195" s="385"/>
      <c r="K195" s="385"/>
      <c r="L195" s="385"/>
      <c r="M195" s="385"/>
      <c r="N195" s="385"/>
      <c r="O195" s="385"/>
    </row>
    <row r="196" spans="2:15" ht="15" customHeight="1" x14ac:dyDescent="0.25">
      <c r="B196" s="386"/>
      <c r="C196" s="384"/>
      <c r="F196" s="385"/>
      <c r="G196" s="385"/>
      <c r="H196" s="385"/>
      <c r="I196" s="385"/>
      <c r="J196" s="385"/>
      <c r="K196" s="385"/>
      <c r="L196" s="385"/>
      <c r="M196" s="385"/>
      <c r="N196" s="385"/>
      <c r="O196" s="385"/>
    </row>
    <row r="197" spans="2:15" ht="15" customHeight="1" x14ac:dyDescent="0.25">
      <c r="B197" s="386"/>
      <c r="C197" s="384"/>
      <c r="F197" s="385"/>
      <c r="G197" s="385"/>
      <c r="H197" s="385"/>
      <c r="I197" s="385"/>
      <c r="J197" s="385"/>
      <c r="K197" s="385"/>
      <c r="L197" s="385"/>
      <c r="M197" s="385"/>
      <c r="N197" s="385"/>
      <c r="O197" s="385"/>
    </row>
    <row r="198" spans="2:15" ht="15" customHeight="1" x14ac:dyDescent="0.25">
      <c r="B198" s="386"/>
      <c r="C198" s="384"/>
      <c r="F198" s="385"/>
      <c r="G198" s="385"/>
      <c r="H198" s="385"/>
      <c r="I198" s="385"/>
      <c r="J198" s="385"/>
      <c r="K198" s="385"/>
      <c r="L198" s="385"/>
      <c r="M198" s="385"/>
      <c r="N198" s="385"/>
      <c r="O198" s="385"/>
    </row>
    <row r="199" spans="2:15" ht="15" customHeight="1" x14ac:dyDescent="0.25">
      <c r="B199" s="386"/>
      <c r="C199" s="384"/>
      <c r="F199" s="385"/>
      <c r="G199" s="385"/>
      <c r="H199" s="385"/>
      <c r="I199" s="385"/>
      <c r="J199" s="385"/>
      <c r="K199" s="385"/>
      <c r="L199" s="385"/>
      <c r="M199" s="385"/>
      <c r="N199" s="385"/>
      <c r="O199" s="385"/>
    </row>
    <row r="200" spans="2:15" ht="15" customHeight="1" x14ac:dyDescent="0.25">
      <c r="B200" s="389"/>
      <c r="C200" s="384"/>
      <c r="F200" s="385"/>
      <c r="G200" s="385"/>
      <c r="H200" s="385"/>
      <c r="I200" s="385"/>
      <c r="J200" s="385"/>
      <c r="K200" s="385"/>
      <c r="L200" s="385"/>
      <c r="M200" s="385"/>
      <c r="N200" s="385"/>
      <c r="O200" s="385"/>
    </row>
    <row r="201" spans="2:15" ht="15" customHeight="1" x14ac:dyDescent="0.25">
      <c r="C201" s="384"/>
      <c r="F201" s="385"/>
      <c r="G201" s="385"/>
      <c r="H201" s="385"/>
      <c r="I201" s="385"/>
      <c r="J201" s="385"/>
      <c r="K201" s="385"/>
      <c r="L201" s="385"/>
      <c r="M201" s="385"/>
      <c r="N201" s="385"/>
      <c r="O201" s="385"/>
    </row>
    <row r="202" spans="2:15" ht="15" customHeight="1" x14ac:dyDescent="0.25">
      <c r="B202" s="389"/>
      <c r="C202" s="384"/>
      <c r="F202" s="385"/>
      <c r="G202" s="385"/>
      <c r="H202" s="385"/>
      <c r="I202" s="385"/>
      <c r="J202" s="385"/>
      <c r="K202" s="385"/>
      <c r="L202" s="385"/>
      <c r="M202" s="385"/>
      <c r="N202" s="385"/>
      <c r="O202" s="385"/>
    </row>
    <row r="203" spans="2:15" ht="15" customHeight="1" x14ac:dyDescent="0.25">
      <c r="C203" s="384"/>
      <c r="F203" s="385"/>
      <c r="G203" s="385"/>
      <c r="H203" s="385"/>
      <c r="I203" s="385"/>
      <c r="J203" s="385"/>
      <c r="K203" s="385"/>
      <c r="L203" s="385"/>
      <c r="M203" s="385"/>
      <c r="N203" s="385"/>
      <c r="O203" s="385"/>
    </row>
    <row r="204" spans="2:15" ht="15" customHeight="1" x14ac:dyDescent="0.25">
      <c r="B204" s="386"/>
      <c r="C204" s="384"/>
      <c r="F204" s="385"/>
      <c r="G204" s="385"/>
      <c r="H204" s="385"/>
      <c r="I204" s="385"/>
      <c r="J204" s="385"/>
      <c r="K204" s="385"/>
      <c r="L204" s="385"/>
      <c r="M204" s="385"/>
      <c r="N204" s="385"/>
      <c r="O204" s="385"/>
    </row>
    <row r="205" spans="2:15" ht="15" customHeight="1" x14ac:dyDescent="0.25">
      <c r="B205" s="386"/>
      <c r="C205" s="384"/>
      <c r="F205" s="385"/>
      <c r="G205" s="385"/>
      <c r="H205" s="385"/>
      <c r="I205" s="385"/>
      <c r="J205" s="385"/>
      <c r="K205" s="385"/>
      <c r="L205" s="385"/>
      <c r="M205" s="385"/>
      <c r="N205" s="385"/>
      <c r="O205" s="385"/>
    </row>
    <row r="206" spans="2:15" ht="15" customHeight="1" x14ac:dyDescent="0.25">
      <c r="B206" s="386"/>
      <c r="C206" s="384"/>
      <c r="F206" s="385"/>
      <c r="G206" s="385"/>
      <c r="H206" s="385"/>
      <c r="I206" s="385"/>
      <c r="J206" s="385"/>
      <c r="K206" s="385"/>
      <c r="L206" s="385"/>
      <c r="M206" s="385"/>
      <c r="N206" s="385"/>
      <c r="O206" s="385"/>
    </row>
    <row r="207" spans="2:15" ht="15" customHeight="1" x14ac:dyDescent="0.25">
      <c r="B207" s="389"/>
      <c r="C207" s="384"/>
      <c r="F207" s="385"/>
      <c r="G207" s="385"/>
      <c r="H207" s="385"/>
      <c r="I207" s="385"/>
      <c r="J207" s="385"/>
      <c r="K207" s="385"/>
      <c r="L207" s="385"/>
      <c r="M207" s="385"/>
      <c r="N207" s="385"/>
      <c r="O207" s="385"/>
    </row>
    <row r="208" spans="2:15" ht="15" customHeight="1" x14ac:dyDescent="0.25">
      <c r="C208" s="384"/>
      <c r="F208" s="385"/>
      <c r="G208" s="385"/>
      <c r="H208" s="385"/>
      <c r="I208" s="385"/>
      <c r="J208" s="385"/>
      <c r="K208" s="385"/>
      <c r="L208" s="385"/>
      <c r="M208" s="385"/>
      <c r="N208" s="385"/>
      <c r="O208" s="385"/>
    </row>
    <row r="209" spans="1:15" ht="15" customHeight="1" x14ac:dyDescent="0.25">
      <c r="B209" s="386"/>
      <c r="C209" s="384"/>
      <c r="F209" s="385"/>
      <c r="G209" s="385"/>
      <c r="H209" s="385"/>
      <c r="I209" s="385"/>
      <c r="J209" s="385"/>
      <c r="K209" s="385"/>
      <c r="L209" s="385"/>
      <c r="M209" s="385"/>
      <c r="N209" s="385"/>
      <c r="O209" s="385"/>
    </row>
    <row r="210" spans="1:15" ht="15" customHeight="1" x14ac:dyDescent="0.25">
      <c r="B210" s="386"/>
      <c r="C210" s="384"/>
      <c r="F210" s="385"/>
      <c r="G210" s="385"/>
      <c r="H210" s="385"/>
      <c r="I210" s="385"/>
      <c r="J210" s="385"/>
      <c r="K210" s="385"/>
      <c r="L210" s="385"/>
      <c r="M210" s="385"/>
      <c r="N210" s="385"/>
      <c r="O210" s="385"/>
    </row>
    <row r="211" spans="1:15" ht="15" customHeight="1" x14ac:dyDescent="0.25">
      <c r="B211" s="389"/>
      <c r="C211" s="384"/>
      <c r="F211" s="385"/>
      <c r="G211" s="385"/>
      <c r="H211" s="385"/>
      <c r="I211" s="385"/>
      <c r="J211" s="385"/>
      <c r="K211" s="385"/>
      <c r="L211" s="385"/>
      <c r="M211" s="385"/>
      <c r="N211" s="385"/>
      <c r="O211" s="385"/>
    </row>
    <row r="212" spans="1:15" ht="15" customHeight="1" x14ac:dyDescent="0.25">
      <c r="C212" s="384"/>
      <c r="F212" s="385"/>
      <c r="G212" s="385"/>
      <c r="H212" s="385"/>
      <c r="I212" s="385"/>
      <c r="J212" s="385"/>
      <c r="K212" s="385"/>
      <c r="L212" s="385"/>
      <c r="M212" s="385"/>
      <c r="N212" s="385"/>
      <c r="O212" s="385"/>
    </row>
    <row r="213" spans="1:15" ht="15" customHeight="1" x14ac:dyDescent="0.25">
      <c r="B213" s="388"/>
      <c r="C213" s="390"/>
      <c r="F213" s="385"/>
      <c r="G213" s="385"/>
      <c r="H213" s="385"/>
      <c r="I213" s="385"/>
      <c r="J213" s="385"/>
      <c r="K213" s="385"/>
      <c r="L213" s="385"/>
      <c r="M213" s="385"/>
      <c r="N213" s="385"/>
      <c r="O213" s="385"/>
    </row>
    <row r="214" spans="1:15" ht="15" customHeight="1" x14ac:dyDescent="0.25">
      <c r="B214" s="389"/>
      <c r="C214" s="384"/>
      <c r="F214" s="385"/>
      <c r="G214" s="385"/>
      <c r="H214" s="385"/>
      <c r="I214" s="385"/>
      <c r="J214" s="385"/>
      <c r="K214" s="385"/>
      <c r="L214" s="385"/>
      <c r="M214" s="385"/>
      <c r="N214" s="385"/>
      <c r="O214" s="385"/>
    </row>
    <row r="215" spans="1:15" ht="15" customHeight="1" x14ac:dyDescent="0.25">
      <c r="B215" s="389"/>
      <c r="C215" s="384"/>
      <c r="F215" s="385"/>
      <c r="G215" s="385"/>
      <c r="H215" s="385"/>
      <c r="I215" s="385"/>
      <c r="J215" s="385"/>
      <c r="K215" s="385"/>
      <c r="L215" s="385"/>
      <c r="M215" s="385"/>
      <c r="N215" s="385"/>
      <c r="O215" s="385"/>
    </row>
    <row r="216" spans="1:15" ht="15" customHeight="1" x14ac:dyDescent="0.25">
      <c r="C216" s="390"/>
      <c r="F216" s="385"/>
      <c r="G216" s="385"/>
      <c r="H216" s="385"/>
      <c r="I216" s="385"/>
      <c r="J216" s="385"/>
      <c r="K216" s="385"/>
      <c r="L216" s="385"/>
      <c r="M216" s="385"/>
      <c r="N216" s="385"/>
      <c r="O216" s="385"/>
    </row>
    <row r="217" spans="1:15" ht="15" customHeight="1" x14ac:dyDescent="0.25">
      <c r="F217" s="385"/>
      <c r="G217" s="385"/>
      <c r="H217" s="385"/>
      <c r="I217" s="385"/>
      <c r="J217" s="385"/>
      <c r="K217" s="385"/>
      <c r="L217" s="385"/>
      <c r="M217" s="385"/>
      <c r="N217" s="385"/>
      <c r="O217" s="385"/>
    </row>
    <row r="218" spans="1:15" ht="15" customHeight="1" x14ac:dyDescent="0.25">
      <c r="M218" s="391"/>
      <c r="N218" s="391"/>
      <c r="O218" s="391"/>
    </row>
    <row r="219" spans="1:15" ht="15" customHeight="1" x14ac:dyDescent="0.25"/>
    <row r="220" spans="1:15" ht="15" customHeight="1" x14ac:dyDescent="0.25">
      <c r="A220" s="381"/>
      <c r="C220" s="381"/>
      <c r="D220" s="382"/>
    </row>
    <row r="221" spans="1:15" ht="15" customHeight="1" x14ac:dyDescent="0.25">
      <c r="B221" s="386"/>
      <c r="C221" s="384"/>
      <c r="D221" s="380"/>
      <c r="F221" s="385"/>
      <c r="G221" s="385"/>
      <c r="H221" s="385"/>
      <c r="I221" s="385"/>
      <c r="J221" s="385"/>
      <c r="K221" s="385"/>
      <c r="L221" s="385"/>
      <c r="M221" s="385"/>
      <c r="N221" s="385"/>
      <c r="O221" s="385"/>
    </row>
    <row r="222" spans="1:15" ht="15" customHeight="1" x14ac:dyDescent="0.25">
      <c r="B222" s="386"/>
      <c r="C222" s="384"/>
      <c r="D222" s="380"/>
      <c r="E222" s="380"/>
      <c r="F222" s="387"/>
      <c r="G222" s="387"/>
      <c r="H222" s="387"/>
      <c r="I222" s="387"/>
      <c r="J222" s="387"/>
      <c r="K222" s="387"/>
      <c r="L222" s="387"/>
      <c r="M222" s="387"/>
      <c r="N222" s="387"/>
      <c r="O222" s="387"/>
    </row>
    <row r="223" spans="1:15" ht="15" customHeight="1" x14ac:dyDescent="0.25">
      <c r="B223" s="386"/>
      <c r="C223" s="384"/>
      <c r="F223" s="385"/>
      <c r="G223" s="385"/>
      <c r="H223" s="385"/>
      <c r="I223" s="385"/>
      <c r="J223" s="385"/>
      <c r="K223" s="385"/>
      <c r="L223" s="385"/>
      <c r="M223" s="385"/>
      <c r="N223" s="385"/>
      <c r="O223" s="385"/>
    </row>
    <row r="224" spans="1:15" ht="15" customHeight="1" x14ac:dyDescent="0.25">
      <c r="B224" s="386"/>
      <c r="C224" s="384"/>
      <c r="F224" s="385"/>
      <c r="G224" s="385"/>
      <c r="H224" s="385"/>
      <c r="I224" s="385"/>
      <c r="J224" s="385"/>
      <c r="K224" s="385"/>
      <c r="L224" s="385"/>
      <c r="M224" s="385"/>
      <c r="N224" s="385"/>
      <c r="O224" s="385"/>
    </row>
    <row r="225" spans="2:15" ht="15" customHeight="1" x14ac:dyDescent="0.25">
      <c r="B225" s="386"/>
      <c r="C225" s="384"/>
      <c r="F225" s="385"/>
      <c r="G225" s="385"/>
      <c r="H225" s="385"/>
      <c r="I225" s="385"/>
      <c r="J225" s="385"/>
      <c r="K225" s="385"/>
      <c r="L225" s="385"/>
      <c r="M225" s="385"/>
      <c r="N225" s="385"/>
      <c r="O225" s="385"/>
    </row>
    <row r="226" spans="2:15" ht="15" customHeight="1" x14ac:dyDescent="0.25">
      <c r="B226" s="386"/>
      <c r="C226" s="384"/>
      <c r="F226" s="385"/>
      <c r="G226" s="385"/>
      <c r="H226" s="385"/>
      <c r="I226" s="385"/>
      <c r="J226" s="385"/>
      <c r="K226" s="385"/>
      <c r="L226" s="385"/>
      <c r="M226" s="385"/>
      <c r="N226" s="385"/>
      <c r="O226" s="385"/>
    </row>
    <row r="227" spans="2:15" ht="15" customHeight="1" x14ac:dyDescent="0.25">
      <c r="B227" s="388"/>
      <c r="C227" s="384"/>
      <c r="F227" s="385"/>
      <c r="G227" s="385"/>
      <c r="H227" s="385"/>
      <c r="I227" s="385"/>
      <c r="J227" s="385"/>
      <c r="K227" s="385"/>
      <c r="L227" s="385"/>
      <c r="M227" s="385"/>
      <c r="N227" s="385"/>
      <c r="O227" s="385"/>
    </row>
    <row r="228" spans="2:15" ht="15" customHeight="1" x14ac:dyDescent="0.25">
      <c r="C228" s="384"/>
      <c r="F228" s="385"/>
      <c r="G228" s="385"/>
      <c r="H228" s="385"/>
      <c r="I228" s="385"/>
      <c r="J228" s="385"/>
      <c r="K228" s="385"/>
      <c r="L228" s="385"/>
      <c r="M228" s="385"/>
      <c r="N228" s="385"/>
      <c r="O228" s="385"/>
    </row>
    <row r="229" spans="2:15" ht="15" customHeight="1" x14ac:dyDescent="0.25">
      <c r="B229" s="386"/>
      <c r="C229" s="384"/>
      <c r="F229" s="385"/>
      <c r="G229" s="385"/>
      <c r="H229" s="385"/>
      <c r="I229" s="385"/>
      <c r="J229" s="385"/>
      <c r="K229" s="385"/>
      <c r="L229" s="385"/>
      <c r="M229" s="385"/>
      <c r="N229" s="385"/>
      <c r="O229" s="385"/>
    </row>
    <row r="230" spans="2:15" ht="15" customHeight="1" x14ac:dyDescent="0.25">
      <c r="B230" s="386"/>
      <c r="C230" s="384"/>
      <c r="F230" s="385"/>
      <c r="G230" s="385"/>
      <c r="H230" s="385"/>
      <c r="I230" s="385"/>
      <c r="J230" s="385"/>
      <c r="K230" s="385"/>
      <c r="L230" s="385"/>
      <c r="M230" s="385"/>
      <c r="N230" s="385"/>
      <c r="O230" s="385"/>
    </row>
    <row r="231" spans="2:15" ht="15" customHeight="1" x14ac:dyDescent="0.25">
      <c r="B231" s="386"/>
      <c r="C231" s="384"/>
      <c r="F231" s="385"/>
      <c r="G231" s="385"/>
      <c r="H231" s="385"/>
      <c r="I231" s="385"/>
      <c r="J231" s="385"/>
      <c r="K231" s="385"/>
      <c r="L231" s="385"/>
      <c r="M231" s="385"/>
      <c r="N231" s="385"/>
      <c r="O231" s="385"/>
    </row>
    <row r="232" spans="2:15" ht="15" customHeight="1" x14ac:dyDescent="0.25">
      <c r="B232" s="386"/>
      <c r="C232" s="384"/>
      <c r="F232" s="385"/>
      <c r="G232" s="385"/>
      <c r="H232" s="385"/>
      <c r="I232" s="385"/>
      <c r="J232" s="385"/>
      <c r="K232" s="385"/>
      <c r="L232" s="385"/>
      <c r="M232" s="385"/>
      <c r="N232" s="385"/>
      <c r="O232" s="385"/>
    </row>
    <row r="233" spans="2:15" ht="15" customHeight="1" x14ac:dyDescent="0.25">
      <c r="C233" s="384"/>
      <c r="F233" s="385"/>
      <c r="G233" s="385"/>
      <c r="H233" s="385"/>
      <c r="I233" s="385"/>
      <c r="J233" s="385"/>
      <c r="K233" s="385"/>
      <c r="L233" s="385"/>
      <c r="M233" s="385"/>
      <c r="N233" s="385"/>
      <c r="O233" s="385"/>
    </row>
    <row r="234" spans="2:15" ht="15" customHeight="1" x14ac:dyDescent="0.25">
      <c r="B234" s="386"/>
      <c r="C234" s="384"/>
      <c r="F234" s="385"/>
      <c r="G234" s="385"/>
      <c r="H234" s="385"/>
      <c r="I234" s="385"/>
      <c r="J234" s="385"/>
      <c r="K234" s="385"/>
      <c r="L234" s="385"/>
      <c r="M234" s="385"/>
      <c r="N234" s="385"/>
      <c r="O234" s="385"/>
    </row>
    <row r="235" spans="2:15" ht="15" customHeight="1" x14ac:dyDescent="0.25">
      <c r="B235" s="386"/>
      <c r="C235" s="384"/>
      <c r="F235" s="385"/>
      <c r="G235" s="385"/>
      <c r="H235" s="385"/>
      <c r="I235" s="385"/>
      <c r="J235" s="385"/>
      <c r="K235" s="385"/>
      <c r="L235" s="385"/>
      <c r="M235" s="385"/>
      <c r="N235" s="385"/>
      <c r="O235" s="385"/>
    </row>
    <row r="236" spans="2:15" ht="15" customHeight="1" x14ac:dyDescent="0.25">
      <c r="B236" s="386"/>
      <c r="C236" s="384"/>
      <c r="F236" s="385"/>
      <c r="G236" s="385"/>
      <c r="H236" s="385"/>
      <c r="I236" s="385"/>
      <c r="J236" s="385"/>
      <c r="K236" s="385"/>
      <c r="L236" s="385"/>
      <c r="M236" s="385"/>
      <c r="N236" s="385"/>
      <c r="O236" s="385"/>
    </row>
    <row r="237" spans="2:15" ht="15" customHeight="1" x14ac:dyDescent="0.25">
      <c r="B237" s="388"/>
      <c r="C237" s="384"/>
      <c r="F237" s="385"/>
      <c r="G237" s="385"/>
      <c r="H237" s="385"/>
      <c r="I237" s="385"/>
      <c r="J237" s="385"/>
      <c r="K237" s="385"/>
      <c r="L237" s="385"/>
      <c r="M237" s="385"/>
      <c r="N237" s="385"/>
      <c r="O237" s="385"/>
    </row>
    <row r="238" spans="2:15" ht="15" customHeight="1" x14ac:dyDescent="0.25">
      <c r="B238" s="386"/>
      <c r="C238" s="384"/>
      <c r="F238" s="385"/>
      <c r="G238" s="385"/>
      <c r="H238" s="385"/>
      <c r="I238" s="385"/>
      <c r="J238" s="385"/>
      <c r="K238" s="385"/>
      <c r="L238" s="385"/>
      <c r="M238" s="385"/>
      <c r="N238" s="385"/>
      <c r="O238" s="385"/>
    </row>
    <row r="239" spans="2:15" ht="15" customHeight="1" x14ac:dyDescent="0.25">
      <c r="B239" s="386"/>
      <c r="C239" s="384"/>
      <c r="F239" s="385"/>
      <c r="G239" s="385"/>
      <c r="H239" s="385"/>
      <c r="I239" s="385"/>
      <c r="J239" s="385"/>
      <c r="K239" s="385"/>
      <c r="L239" s="385"/>
      <c r="M239" s="385"/>
      <c r="N239" s="385"/>
      <c r="O239" s="385"/>
    </row>
    <row r="240" spans="2:15" ht="15" customHeight="1" x14ac:dyDescent="0.25">
      <c r="B240" s="386"/>
      <c r="C240" s="384"/>
      <c r="F240" s="385"/>
      <c r="G240" s="385"/>
      <c r="H240" s="385"/>
      <c r="I240" s="385"/>
      <c r="J240" s="385"/>
      <c r="K240" s="385"/>
      <c r="L240" s="385"/>
      <c r="M240" s="385"/>
      <c r="N240" s="385"/>
      <c r="O240" s="385"/>
    </row>
    <row r="241" spans="2:15" ht="15" customHeight="1" x14ac:dyDescent="0.25">
      <c r="B241" s="386"/>
      <c r="C241" s="384"/>
      <c r="F241" s="385"/>
      <c r="G241" s="385"/>
      <c r="H241" s="385"/>
      <c r="I241" s="385"/>
      <c r="J241" s="385"/>
      <c r="K241" s="385"/>
      <c r="L241" s="385"/>
      <c r="M241" s="385"/>
      <c r="N241" s="385"/>
      <c r="O241" s="385"/>
    </row>
    <row r="242" spans="2:15" ht="15" customHeight="1" x14ac:dyDescent="0.25">
      <c r="B242" s="386"/>
      <c r="C242" s="384"/>
      <c r="F242" s="385"/>
      <c r="G242" s="385"/>
      <c r="H242" s="385"/>
      <c r="I242" s="385"/>
      <c r="J242" s="385"/>
      <c r="K242" s="385"/>
      <c r="L242" s="385"/>
      <c r="M242" s="385"/>
      <c r="N242" s="385"/>
      <c r="O242" s="385"/>
    </row>
    <row r="243" spans="2:15" ht="15" customHeight="1" x14ac:dyDescent="0.25">
      <c r="B243" s="386"/>
      <c r="C243" s="384"/>
      <c r="F243" s="385"/>
      <c r="G243" s="385"/>
      <c r="H243" s="385"/>
      <c r="I243" s="385"/>
      <c r="J243" s="385"/>
      <c r="K243" s="385"/>
      <c r="L243" s="385"/>
      <c r="M243" s="385"/>
      <c r="N243" s="385"/>
      <c r="O243" s="385"/>
    </row>
    <row r="244" spans="2:15" ht="15" customHeight="1" x14ac:dyDescent="0.25">
      <c r="B244" s="386"/>
      <c r="C244" s="384"/>
      <c r="F244" s="385"/>
      <c r="G244" s="385"/>
      <c r="H244" s="385"/>
      <c r="I244" s="385"/>
      <c r="J244" s="385"/>
      <c r="K244" s="385"/>
      <c r="L244" s="385"/>
      <c r="M244" s="385"/>
      <c r="N244" s="385"/>
      <c r="O244" s="385"/>
    </row>
    <row r="245" spans="2:15" ht="15" customHeight="1" x14ac:dyDescent="0.25">
      <c r="B245" s="386"/>
      <c r="C245" s="384"/>
      <c r="F245" s="385"/>
      <c r="G245" s="385"/>
      <c r="H245" s="385"/>
      <c r="I245" s="385"/>
      <c r="J245" s="385"/>
      <c r="K245" s="385"/>
      <c r="L245" s="385"/>
      <c r="M245" s="385"/>
      <c r="N245" s="385"/>
      <c r="O245" s="385"/>
    </row>
    <row r="246" spans="2:15" ht="15" customHeight="1" x14ac:dyDescent="0.25">
      <c r="B246" s="389"/>
      <c r="C246" s="384"/>
      <c r="F246" s="385"/>
      <c r="G246" s="385"/>
      <c r="H246" s="385"/>
      <c r="I246" s="385"/>
      <c r="J246" s="385"/>
      <c r="K246" s="385"/>
      <c r="L246" s="385"/>
      <c r="M246" s="385"/>
      <c r="N246" s="385"/>
      <c r="O246" s="385"/>
    </row>
    <row r="247" spans="2:15" ht="15" customHeight="1" x14ac:dyDescent="0.25">
      <c r="C247" s="384"/>
      <c r="F247" s="385"/>
      <c r="G247" s="385"/>
      <c r="H247" s="385"/>
      <c r="I247" s="385"/>
      <c r="J247" s="385"/>
      <c r="K247" s="385"/>
      <c r="L247" s="385"/>
      <c r="M247" s="385"/>
      <c r="N247" s="385"/>
      <c r="O247" s="385"/>
    </row>
    <row r="248" spans="2:15" ht="15" customHeight="1" x14ac:dyDescent="0.25">
      <c r="B248" s="389"/>
      <c r="C248" s="384"/>
      <c r="F248" s="385"/>
      <c r="G248" s="385"/>
      <c r="H248" s="385"/>
      <c r="I248" s="385"/>
      <c r="J248" s="385"/>
      <c r="K248" s="385"/>
      <c r="L248" s="385"/>
      <c r="M248" s="385"/>
      <c r="N248" s="385"/>
      <c r="O248" s="385"/>
    </row>
    <row r="249" spans="2:15" ht="15" customHeight="1" x14ac:dyDescent="0.25">
      <c r="C249" s="384"/>
      <c r="F249" s="385"/>
      <c r="G249" s="385"/>
      <c r="H249" s="385"/>
      <c r="I249" s="385"/>
      <c r="J249" s="385"/>
      <c r="K249" s="385"/>
      <c r="L249" s="385"/>
      <c r="M249" s="385"/>
      <c r="N249" s="385"/>
      <c r="O249" s="385"/>
    </row>
    <row r="250" spans="2:15" ht="15" customHeight="1" x14ac:dyDescent="0.25">
      <c r="B250" s="386"/>
      <c r="C250" s="384"/>
      <c r="F250" s="385"/>
      <c r="G250" s="385"/>
      <c r="H250" s="385"/>
      <c r="I250" s="385"/>
      <c r="J250" s="385"/>
      <c r="K250" s="385"/>
      <c r="L250" s="385"/>
      <c r="M250" s="385"/>
      <c r="N250" s="385"/>
      <c r="O250" s="385"/>
    </row>
    <row r="251" spans="2:15" ht="15" customHeight="1" x14ac:dyDescent="0.25">
      <c r="B251" s="386"/>
      <c r="C251" s="384"/>
      <c r="F251" s="385"/>
      <c r="G251" s="385"/>
      <c r="H251" s="385"/>
      <c r="I251" s="385"/>
      <c r="J251" s="385"/>
      <c r="K251" s="385"/>
      <c r="L251" s="385"/>
      <c r="M251" s="385"/>
      <c r="N251" s="385"/>
      <c r="O251" s="385"/>
    </row>
    <row r="252" spans="2:15" ht="15" customHeight="1" x14ac:dyDescent="0.25">
      <c r="B252" s="386"/>
      <c r="C252" s="384"/>
      <c r="F252" s="385"/>
      <c r="G252" s="385"/>
      <c r="H252" s="385"/>
      <c r="I252" s="385"/>
      <c r="J252" s="385"/>
      <c r="K252" s="385"/>
      <c r="L252" s="385"/>
      <c r="M252" s="385"/>
      <c r="N252" s="385"/>
      <c r="O252" s="385"/>
    </row>
    <row r="253" spans="2:15" ht="15" customHeight="1" x14ac:dyDescent="0.25">
      <c r="B253" s="389"/>
      <c r="C253" s="384"/>
      <c r="F253" s="385"/>
      <c r="G253" s="385"/>
      <c r="H253" s="385"/>
      <c r="I253" s="385"/>
      <c r="J253" s="385"/>
      <c r="K253" s="385"/>
      <c r="L253" s="385"/>
      <c r="M253" s="385"/>
      <c r="N253" s="385"/>
      <c r="O253" s="385"/>
    </row>
    <row r="254" spans="2:15" ht="15" customHeight="1" x14ac:dyDescent="0.25">
      <c r="C254" s="384"/>
      <c r="F254" s="385"/>
      <c r="G254" s="385"/>
      <c r="H254" s="385"/>
      <c r="I254" s="385"/>
      <c r="J254" s="385"/>
      <c r="K254" s="385"/>
      <c r="L254" s="385"/>
      <c r="M254" s="385"/>
      <c r="N254" s="385"/>
      <c r="O254" s="385"/>
    </row>
    <row r="255" spans="2:15" ht="15" customHeight="1" x14ac:dyDescent="0.25">
      <c r="B255" s="386"/>
      <c r="C255" s="384"/>
      <c r="F255" s="385"/>
      <c r="G255" s="385"/>
      <c r="H255" s="385"/>
      <c r="I255" s="385"/>
      <c r="J255" s="385"/>
      <c r="K255" s="385"/>
      <c r="L255" s="385"/>
      <c r="M255" s="385"/>
      <c r="N255" s="385"/>
      <c r="O255" s="385"/>
    </row>
    <row r="256" spans="2:15" ht="15" customHeight="1" x14ac:dyDescent="0.25">
      <c r="B256" s="386"/>
      <c r="C256" s="384"/>
      <c r="F256" s="385"/>
      <c r="G256" s="385"/>
      <c r="H256" s="385"/>
      <c r="I256" s="385"/>
      <c r="J256" s="385"/>
      <c r="K256" s="385"/>
      <c r="L256" s="385"/>
      <c r="M256" s="385"/>
      <c r="N256" s="385"/>
      <c r="O256" s="385"/>
    </row>
    <row r="257" spans="1:15" ht="15" customHeight="1" x14ac:dyDescent="0.25">
      <c r="B257" s="389"/>
      <c r="C257" s="384"/>
      <c r="F257" s="385"/>
      <c r="G257" s="385"/>
      <c r="H257" s="385"/>
      <c r="I257" s="385"/>
      <c r="J257" s="385"/>
      <c r="K257" s="385"/>
      <c r="L257" s="385"/>
      <c r="M257" s="385"/>
      <c r="N257" s="385"/>
      <c r="O257" s="385"/>
    </row>
    <row r="258" spans="1:15" ht="15" customHeight="1" x14ac:dyDescent="0.25">
      <c r="C258" s="384"/>
      <c r="F258" s="385"/>
      <c r="G258" s="385"/>
      <c r="H258" s="385"/>
      <c r="I258" s="385"/>
      <c r="J258" s="385"/>
      <c r="K258" s="385"/>
      <c r="L258" s="385"/>
      <c r="M258" s="385"/>
      <c r="N258" s="385"/>
      <c r="O258" s="385"/>
    </row>
    <row r="259" spans="1:15" ht="15" customHeight="1" x14ac:dyDescent="0.25">
      <c r="B259" s="388"/>
      <c r="C259" s="390"/>
      <c r="F259" s="385"/>
      <c r="G259" s="385"/>
      <c r="H259" s="385"/>
      <c r="I259" s="385"/>
      <c r="J259" s="385"/>
      <c r="K259" s="385"/>
      <c r="L259" s="385"/>
      <c r="M259" s="385"/>
      <c r="N259" s="385"/>
      <c r="O259" s="385"/>
    </row>
    <row r="260" spans="1:15" ht="15" customHeight="1" x14ac:dyDescent="0.25">
      <c r="B260" s="389"/>
      <c r="C260" s="384"/>
      <c r="F260" s="385"/>
      <c r="G260" s="385"/>
      <c r="H260" s="385"/>
      <c r="I260" s="385"/>
      <c r="J260" s="385"/>
      <c r="K260" s="385"/>
      <c r="L260" s="385"/>
      <c r="M260" s="385"/>
      <c r="N260" s="385"/>
      <c r="O260" s="385"/>
    </row>
    <row r="261" spans="1:15" ht="15" customHeight="1" x14ac:dyDescent="0.25">
      <c r="B261" s="389"/>
      <c r="C261" s="384"/>
      <c r="F261" s="385"/>
      <c r="G261" s="385"/>
      <c r="H261" s="385"/>
      <c r="I261" s="385"/>
      <c r="J261" s="385"/>
      <c r="K261" s="385"/>
      <c r="L261" s="385"/>
      <c r="M261" s="385"/>
      <c r="N261" s="385"/>
      <c r="O261" s="385"/>
    </row>
    <row r="262" spans="1:15" ht="15" customHeight="1" x14ac:dyDescent="0.25">
      <c r="C262" s="390"/>
      <c r="F262" s="385"/>
      <c r="G262" s="385"/>
      <c r="H262" s="385"/>
      <c r="I262" s="385"/>
      <c r="J262" s="385"/>
      <c r="K262" s="385"/>
      <c r="L262" s="385"/>
      <c r="M262" s="385"/>
      <c r="N262" s="385"/>
      <c r="O262" s="385"/>
    </row>
    <row r="263" spans="1:15" ht="15" customHeight="1" x14ac:dyDescent="0.25">
      <c r="F263" s="385"/>
      <c r="G263" s="385"/>
      <c r="H263" s="385"/>
      <c r="I263" s="385"/>
      <c r="J263" s="385"/>
      <c r="K263" s="385"/>
      <c r="L263" s="385"/>
      <c r="M263" s="385"/>
      <c r="N263" s="385"/>
      <c r="O263" s="385"/>
    </row>
    <row r="264" spans="1:15" ht="15" customHeight="1" x14ac:dyDescent="0.25">
      <c r="M264" s="391"/>
      <c r="N264" s="391"/>
      <c r="O264" s="391"/>
    </row>
    <row r="265" spans="1:15" ht="15" customHeight="1" x14ac:dyDescent="0.25"/>
    <row r="266" spans="1:15" ht="15" customHeight="1" x14ac:dyDescent="0.25"/>
    <row r="267" spans="1:15" ht="15" customHeight="1" x14ac:dyDescent="0.25">
      <c r="A267" s="381"/>
      <c r="C267" s="381"/>
      <c r="D267" s="382"/>
    </row>
    <row r="268" spans="1:15" ht="15" customHeight="1" x14ac:dyDescent="0.25">
      <c r="B268" s="386"/>
      <c r="C268" s="384"/>
      <c r="D268" s="380"/>
      <c r="F268" s="385"/>
      <c r="G268" s="385"/>
      <c r="H268" s="385"/>
      <c r="I268" s="385"/>
      <c r="J268" s="385"/>
      <c r="K268" s="385"/>
      <c r="L268" s="385"/>
      <c r="M268" s="385"/>
      <c r="N268" s="385"/>
      <c r="O268" s="385"/>
    </row>
    <row r="269" spans="1:15" ht="15" customHeight="1" x14ac:dyDescent="0.25">
      <c r="B269" s="386"/>
      <c r="C269" s="384"/>
      <c r="D269" s="380"/>
      <c r="E269" s="380"/>
      <c r="F269" s="387"/>
      <c r="G269" s="387"/>
      <c r="H269" s="387"/>
      <c r="I269" s="387"/>
      <c r="J269" s="387"/>
      <c r="K269" s="387"/>
      <c r="L269" s="387"/>
      <c r="M269" s="387"/>
      <c r="N269" s="387"/>
      <c r="O269" s="387"/>
    </row>
    <row r="270" spans="1:15" ht="15" customHeight="1" x14ac:dyDescent="0.25">
      <c r="B270" s="386"/>
      <c r="C270" s="384"/>
      <c r="F270" s="385"/>
      <c r="G270" s="385"/>
      <c r="H270" s="385"/>
      <c r="I270" s="385"/>
      <c r="J270" s="385"/>
      <c r="K270" s="385"/>
      <c r="L270" s="385"/>
      <c r="M270" s="385"/>
      <c r="N270" s="385"/>
      <c r="O270" s="385"/>
    </row>
    <row r="271" spans="1:15" ht="15" customHeight="1" x14ac:dyDescent="0.25">
      <c r="B271" s="386"/>
      <c r="C271" s="384"/>
      <c r="F271" s="385"/>
      <c r="G271" s="385"/>
      <c r="H271" s="385"/>
      <c r="I271" s="385"/>
      <c r="J271" s="385"/>
      <c r="K271" s="385"/>
      <c r="L271" s="385"/>
      <c r="M271" s="385"/>
      <c r="N271" s="385"/>
      <c r="O271" s="385"/>
    </row>
    <row r="272" spans="1:15" ht="15" customHeight="1" x14ac:dyDescent="0.25">
      <c r="B272" s="386"/>
      <c r="C272" s="384"/>
      <c r="F272" s="385"/>
      <c r="G272" s="385"/>
      <c r="H272" s="385"/>
      <c r="I272" s="385"/>
      <c r="J272" s="385"/>
      <c r="K272" s="385"/>
      <c r="L272" s="385"/>
      <c r="M272" s="385"/>
      <c r="N272" s="385"/>
      <c r="O272" s="385"/>
    </row>
    <row r="273" spans="2:15" ht="15" customHeight="1" x14ac:dyDescent="0.25">
      <c r="B273" s="386"/>
      <c r="C273" s="384"/>
      <c r="F273" s="385"/>
      <c r="G273" s="385"/>
      <c r="H273" s="385"/>
      <c r="I273" s="385"/>
      <c r="J273" s="385"/>
      <c r="K273" s="385"/>
      <c r="L273" s="385"/>
      <c r="M273" s="385"/>
      <c r="N273" s="385"/>
      <c r="O273" s="385"/>
    </row>
    <row r="274" spans="2:15" ht="15" customHeight="1" x14ac:dyDescent="0.25">
      <c r="B274" s="388"/>
      <c r="C274" s="384"/>
      <c r="F274" s="385"/>
      <c r="G274" s="385"/>
      <c r="H274" s="385"/>
      <c r="I274" s="385"/>
      <c r="J274" s="385"/>
      <c r="K274" s="385"/>
      <c r="L274" s="385"/>
      <c r="M274" s="385"/>
      <c r="N274" s="385"/>
      <c r="O274" s="385"/>
    </row>
    <row r="275" spans="2:15" ht="15" customHeight="1" x14ac:dyDescent="0.25">
      <c r="C275" s="384"/>
      <c r="F275" s="385"/>
      <c r="G275" s="385"/>
      <c r="H275" s="385"/>
      <c r="I275" s="385"/>
      <c r="J275" s="385"/>
      <c r="K275" s="385"/>
      <c r="L275" s="385"/>
      <c r="M275" s="385"/>
      <c r="N275" s="385"/>
      <c r="O275" s="385"/>
    </row>
    <row r="276" spans="2:15" ht="15" customHeight="1" x14ac:dyDescent="0.25">
      <c r="B276" s="386"/>
      <c r="C276" s="384"/>
      <c r="F276" s="385"/>
      <c r="G276" s="385"/>
      <c r="H276" s="385"/>
      <c r="I276" s="385"/>
      <c r="J276" s="385"/>
      <c r="K276" s="385"/>
      <c r="L276" s="385"/>
      <c r="M276" s="385"/>
      <c r="N276" s="385"/>
      <c r="O276" s="385"/>
    </row>
    <row r="277" spans="2:15" ht="15" customHeight="1" x14ac:dyDescent="0.25">
      <c r="B277" s="386"/>
      <c r="C277" s="384"/>
      <c r="F277" s="385"/>
      <c r="G277" s="385"/>
      <c r="H277" s="385"/>
      <c r="I277" s="385"/>
      <c r="J277" s="385"/>
      <c r="K277" s="385"/>
      <c r="L277" s="385"/>
      <c r="M277" s="385"/>
      <c r="N277" s="385"/>
      <c r="O277" s="385"/>
    </row>
    <row r="278" spans="2:15" ht="15" customHeight="1" x14ac:dyDescent="0.25">
      <c r="B278" s="386"/>
      <c r="C278" s="384"/>
      <c r="F278" s="385"/>
      <c r="G278" s="385"/>
      <c r="H278" s="385"/>
      <c r="I278" s="385"/>
      <c r="J278" s="385"/>
      <c r="K278" s="385"/>
      <c r="L278" s="385"/>
      <c r="M278" s="385"/>
      <c r="N278" s="385"/>
      <c r="O278" s="385"/>
    </row>
    <row r="279" spans="2:15" ht="15" customHeight="1" x14ac:dyDescent="0.25">
      <c r="B279" s="386"/>
      <c r="C279" s="384"/>
      <c r="F279" s="385"/>
      <c r="G279" s="385"/>
      <c r="H279" s="385"/>
      <c r="I279" s="385"/>
      <c r="J279" s="385"/>
      <c r="K279" s="385"/>
      <c r="L279" s="385"/>
      <c r="M279" s="385"/>
      <c r="N279" s="385"/>
      <c r="O279" s="385"/>
    </row>
    <row r="280" spans="2:15" ht="15" customHeight="1" x14ac:dyDescent="0.25">
      <c r="C280" s="384"/>
      <c r="F280" s="385"/>
      <c r="G280" s="385"/>
      <c r="H280" s="385"/>
      <c r="I280" s="385"/>
      <c r="J280" s="385"/>
      <c r="K280" s="385"/>
      <c r="L280" s="385"/>
      <c r="M280" s="385"/>
      <c r="N280" s="385"/>
      <c r="O280" s="385"/>
    </row>
    <row r="281" spans="2:15" ht="15" customHeight="1" x14ac:dyDescent="0.25">
      <c r="B281" s="386"/>
      <c r="C281" s="384"/>
      <c r="F281" s="385"/>
      <c r="G281" s="385"/>
      <c r="H281" s="385"/>
      <c r="I281" s="385"/>
      <c r="J281" s="385"/>
      <c r="K281" s="385"/>
      <c r="L281" s="385"/>
      <c r="M281" s="385"/>
      <c r="N281" s="385"/>
      <c r="O281" s="385"/>
    </row>
    <row r="282" spans="2:15" ht="15" customHeight="1" x14ac:dyDescent="0.25">
      <c r="B282" s="386"/>
      <c r="C282" s="384"/>
      <c r="F282" s="385"/>
      <c r="G282" s="385"/>
      <c r="H282" s="385"/>
      <c r="I282" s="385"/>
      <c r="J282" s="385"/>
      <c r="K282" s="385"/>
      <c r="L282" s="385"/>
      <c r="M282" s="385"/>
      <c r="N282" s="385"/>
      <c r="O282" s="385"/>
    </row>
    <row r="283" spans="2:15" ht="15" customHeight="1" x14ac:dyDescent="0.25">
      <c r="B283" s="386"/>
      <c r="C283" s="384"/>
      <c r="F283" s="385"/>
      <c r="G283" s="385"/>
      <c r="H283" s="385"/>
      <c r="I283" s="385"/>
      <c r="J283" s="385"/>
      <c r="K283" s="385"/>
      <c r="L283" s="385"/>
      <c r="M283" s="385"/>
      <c r="N283" s="385"/>
      <c r="O283" s="385"/>
    </row>
    <row r="284" spans="2:15" ht="15" customHeight="1" x14ac:dyDescent="0.25">
      <c r="B284" s="388"/>
      <c r="C284" s="384"/>
      <c r="F284" s="385"/>
      <c r="G284" s="385"/>
      <c r="H284" s="385"/>
      <c r="I284" s="385"/>
      <c r="J284" s="385"/>
      <c r="K284" s="385"/>
      <c r="L284" s="385"/>
      <c r="M284" s="385"/>
      <c r="N284" s="385"/>
      <c r="O284" s="385"/>
    </row>
    <row r="285" spans="2:15" ht="15" customHeight="1" x14ac:dyDescent="0.25">
      <c r="B285" s="386"/>
      <c r="C285" s="384"/>
      <c r="F285" s="385"/>
      <c r="G285" s="385"/>
      <c r="H285" s="385"/>
      <c r="I285" s="385"/>
      <c r="J285" s="385"/>
      <c r="K285" s="385"/>
      <c r="L285" s="385"/>
      <c r="M285" s="385"/>
      <c r="N285" s="385"/>
      <c r="O285" s="385"/>
    </row>
    <row r="286" spans="2:15" ht="15" customHeight="1" x14ac:dyDescent="0.25">
      <c r="B286" s="386"/>
      <c r="C286" s="384"/>
      <c r="F286" s="385"/>
      <c r="G286" s="385"/>
      <c r="H286" s="385"/>
      <c r="I286" s="385"/>
      <c r="J286" s="385"/>
      <c r="K286" s="385"/>
      <c r="L286" s="385"/>
      <c r="M286" s="385"/>
      <c r="N286" s="385"/>
      <c r="O286" s="385"/>
    </row>
    <row r="287" spans="2:15" ht="15" customHeight="1" x14ac:dyDescent="0.25">
      <c r="B287" s="386"/>
      <c r="C287" s="384"/>
      <c r="F287" s="385"/>
      <c r="G287" s="385"/>
      <c r="H287" s="385"/>
      <c r="I287" s="385"/>
      <c r="J287" s="385"/>
      <c r="K287" s="385"/>
      <c r="L287" s="385"/>
      <c r="M287" s="385"/>
      <c r="N287" s="385"/>
      <c r="O287" s="385"/>
    </row>
    <row r="288" spans="2:15" ht="15" customHeight="1" x14ac:dyDescent="0.25">
      <c r="B288" s="386"/>
      <c r="C288" s="384"/>
      <c r="F288" s="385"/>
      <c r="G288" s="385"/>
      <c r="H288" s="385"/>
      <c r="I288" s="385"/>
      <c r="J288" s="385"/>
      <c r="K288" s="385"/>
      <c r="L288" s="385"/>
      <c r="M288" s="385"/>
      <c r="N288" s="385"/>
      <c r="O288" s="385"/>
    </row>
    <row r="289" spans="2:15" ht="15" customHeight="1" x14ac:dyDescent="0.25">
      <c r="B289" s="386"/>
      <c r="C289" s="384"/>
      <c r="F289" s="385"/>
      <c r="G289" s="385"/>
      <c r="H289" s="385"/>
      <c r="I289" s="385"/>
      <c r="J289" s="385"/>
      <c r="K289" s="385"/>
      <c r="L289" s="385"/>
      <c r="M289" s="385"/>
      <c r="N289" s="385"/>
      <c r="O289" s="385"/>
    </row>
    <row r="290" spans="2:15" ht="15" customHeight="1" x14ac:dyDescent="0.25">
      <c r="B290" s="386"/>
      <c r="C290" s="384"/>
      <c r="F290" s="385"/>
      <c r="G290" s="385"/>
      <c r="H290" s="385"/>
      <c r="I290" s="385"/>
      <c r="J290" s="385"/>
      <c r="K290" s="385"/>
      <c r="L290" s="385"/>
      <c r="M290" s="385"/>
      <c r="N290" s="385"/>
      <c r="O290" s="385"/>
    </row>
    <row r="291" spans="2:15" ht="15" customHeight="1" x14ac:dyDescent="0.25">
      <c r="B291" s="386"/>
      <c r="C291" s="384"/>
      <c r="F291" s="385"/>
      <c r="G291" s="385"/>
      <c r="H291" s="385"/>
      <c r="I291" s="385"/>
      <c r="J291" s="385"/>
      <c r="K291" s="385"/>
      <c r="L291" s="385"/>
      <c r="M291" s="385"/>
      <c r="N291" s="385"/>
      <c r="O291" s="385"/>
    </row>
    <row r="292" spans="2:15" ht="15" customHeight="1" x14ac:dyDescent="0.25">
      <c r="B292" s="386"/>
      <c r="C292" s="384"/>
      <c r="F292" s="385"/>
      <c r="G292" s="385"/>
      <c r="H292" s="385"/>
      <c r="I292" s="385"/>
      <c r="J292" s="385"/>
      <c r="K292" s="385"/>
      <c r="L292" s="385"/>
      <c r="M292" s="385"/>
      <c r="N292" s="385"/>
      <c r="O292" s="385"/>
    </row>
    <row r="293" spans="2:15" ht="15" customHeight="1" x14ac:dyDescent="0.25">
      <c r="B293" s="389"/>
      <c r="C293" s="384"/>
      <c r="F293" s="385"/>
      <c r="G293" s="385"/>
      <c r="H293" s="385"/>
      <c r="I293" s="385"/>
      <c r="J293" s="385"/>
      <c r="K293" s="385"/>
      <c r="L293" s="385"/>
      <c r="M293" s="385"/>
      <c r="N293" s="385"/>
      <c r="O293" s="385"/>
    </row>
    <row r="294" spans="2:15" ht="15" customHeight="1" x14ac:dyDescent="0.25">
      <c r="C294" s="384"/>
      <c r="F294" s="385"/>
      <c r="G294" s="385"/>
      <c r="H294" s="385"/>
      <c r="I294" s="385"/>
      <c r="J294" s="385"/>
      <c r="K294" s="385"/>
      <c r="L294" s="385"/>
      <c r="M294" s="385"/>
      <c r="N294" s="385"/>
      <c r="O294" s="385"/>
    </row>
    <row r="295" spans="2:15" ht="15" customHeight="1" x14ac:dyDescent="0.25">
      <c r="B295" s="389"/>
      <c r="C295" s="384"/>
      <c r="F295" s="385"/>
      <c r="G295" s="385"/>
      <c r="H295" s="385"/>
      <c r="I295" s="385"/>
      <c r="J295" s="385"/>
      <c r="K295" s="385"/>
      <c r="L295" s="385"/>
      <c r="M295" s="385"/>
      <c r="N295" s="385"/>
      <c r="O295" s="385"/>
    </row>
    <row r="296" spans="2:15" ht="15" customHeight="1" x14ac:dyDescent="0.25">
      <c r="C296" s="384"/>
      <c r="F296" s="385"/>
      <c r="G296" s="385"/>
      <c r="H296" s="385"/>
      <c r="I296" s="385"/>
      <c r="J296" s="385"/>
      <c r="K296" s="385"/>
      <c r="L296" s="385"/>
      <c r="M296" s="385"/>
      <c r="N296" s="385"/>
      <c r="O296" s="385"/>
    </row>
    <row r="297" spans="2:15" ht="15" customHeight="1" x14ac:dyDescent="0.25">
      <c r="B297" s="386"/>
      <c r="C297" s="384"/>
      <c r="F297" s="385"/>
      <c r="G297" s="385"/>
      <c r="H297" s="385"/>
      <c r="I297" s="385"/>
      <c r="J297" s="385"/>
      <c r="K297" s="385"/>
      <c r="L297" s="385"/>
      <c r="M297" s="385"/>
      <c r="N297" s="385"/>
      <c r="O297" s="385"/>
    </row>
    <row r="298" spans="2:15" ht="15" customHeight="1" x14ac:dyDescent="0.25">
      <c r="B298" s="386"/>
      <c r="C298" s="384"/>
      <c r="F298" s="385"/>
      <c r="G298" s="385"/>
      <c r="H298" s="385"/>
      <c r="I298" s="385"/>
      <c r="J298" s="385"/>
      <c r="K298" s="385"/>
      <c r="L298" s="385"/>
      <c r="M298" s="385"/>
      <c r="N298" s="385"/>
      <c r="O298" s="385"/>
    </row>
    <row r="299" spans="2:15" ht="15" customHeight="1" x14ac:dyDescent="0.25">
      <c r="B299" s="386"/>
      <c r="C299" s="384"/>
      <c r="F299" s="385"/>
      <c r="G299" s="385"/>
      <c r="H299" s="385"/>
      <c r="I299" s="385"/>
      <c r="J299" s="385"/>
      <c r="K299" s="385"/>
      <c r="L299" s="385"/>
      <c r="M299" s="385"/>
      <c r="N299" s="385"/>
      <c r="O299" s="385"/>
    </row>
    <row r="300" spans="2:15" ht="15" customHeight="1" x14ac:dyDescent="0.25">
      <c r="B300" s="389"/>
      <c r="C300" s="384"/>
      <c r="F300" s="385"/>
      <c r="G300" s="385"/>
      <c r="H300" s="385"/>
      <c r="I300" s="385"/>
      <c r="J300" s="385"/>
      <c r="K300" s="385"/>
      <c r="L300" s="385"/>
      <c r="M300" s="385"/>
      <c r="N300" s="385"/>
      <c r="O300" s="385"/>
    </row>
    <row r="301" spans="2:15" ht="15" customHeight="1" x14ac:dyDescent="0.25">
      <c r="C301" s="384"/>
      <c r="F301" s="385"/>
      <c r="G301" s="385"/>
      <c r="H301" s="385"/>
      <c r="I301" s="385"/>
      <c r="J301" s="385"/>
      <c r="K301" s="385"/>
      <c r="L301" s="385"/>
      <c r="M301" s="385"/>
      <c r="N301" s="385"/>
      <c r="O301" s="385"/>
    </row>
    <row r="302" spans="2:15" ht="15" customHeight="1" x14ac:dyDescent="0.25">
      <c r="B302" s="386"/>
      <c r="C302" s="384"/>
      <c r="F302" s="385"/>
      <c r="G302" s="385"/>
      <c r="H302" s="385"/>
      <c r="I302" s="385"/>
      <c r="J302" s="385"/>
      <c r="K302" s="385"/>
      <c r="L302" s="385"/>
      <c r="M302" s="385"/>
      <c r="N302" s="385"/>
      <c r="O302" s="385"/>
    </row>
    <row r="303" spans="2:15" ht="15" customHeight="1" x14ac:dyDescent="0.25">
      <c r="B303" s="386"/>
      <c r="C303" s="384"/>
      <c r="F303" s="385"/>
      <c r="G303" s="385"/>
      <c r="H303" s="385"/>
      <c r="I303" s="385"/>
      <c r="J303" s="385"/>
      <c r="K303" s="385"/>
      <c r="L303" s="385"/>
      <c r="M303" s="385"/>
      <c r="N303" s="385"/>
      <c r="O303" s="385"/>
    </row>
    <row r="304" spans="2:15" ht="15" customHeight="1" x14ac:dyDescent="0.25">
      <c r="B304" s="389"/>
      <c r="C304" s="384"/>
      <c r="F304" s="385"/>
      <c r="G304" s="385"/>
      <c r="H304" s="385"/>
      <c r="I304" s="385"/>
      <c r="J304" s="385"/>
      <c r="K304" s="385"/>
      <c r="L304" s="385"/>
      <c r="M304" s="385"/>
      <c r="N304" s="385"/>
      <c r="O304" s="385"/>
    </row>
    <row r="305" spans="2:16" ht="15" customHeight="1" x14ac:dyDescent="0.25">
      <c r="C305" s="384"/>
      <c r="F305" s="385"/>
      <c r="G305" s="385"/>
      <c r="H305" s="385"/>
      <c r="I305" s="385"/>
      <c r="J305" s="385"/>
      <c r="K305" s="385"/>
      <c r="L305" s="385"/>
      <c r="M305" s="385"/>
      <c r="N305" s="385"/>
      <c r="O305" s="385"/>
    </row>
    <row r="306" spans="2:16" ht="15" customHeight="1" x14ac:dyDescent="0.25">
      <c r="B306" s="388"/>
      <c r="C306" s="390"/>
      <c r="F306" s="385"/>
      <c r="G306" s="385"/>
      <c r="H306" s="385"/>
      <c r="I306" s="385"/>
      <c r="J306" s="385"/>
      <c r="K306" s="385"/>
      <c r="L306" s="385"/>
      <c r="M306" s="385"/>
      <c r="N306" s="385"/>
      <c r="O306" s="385"/>
    </row>
    <row r="307" spans="2:16" ht="15" customHeight="1" x14ac:dyDescent="0.25">
      <c r="B307" s="389"/>
      <c r="C307" s="384"/>
      <c r="F307" s="385"/>
      <c r="G307" s="385"/>
      <c r="H307" s="385"/>
      <c r="I307" s="385"/>
      <c r="J307" s="385"/>
      <c r="K307" s="385"/>
      <c r="L307" s="385"/>
      <c r="M307" s="385"/>
      <c r="N307" s="385"/>
      <c r="O307" s="385"/>
    </row>
    <row r="308" spans="2:16" ht="15" customHeight="1" x14ac:dyDescent="0.25">
      <c r="B308" s="389"/>
      <c r="C308" s="384"/>
      <c r="F308" s="385"/>
      <c r="G308" s="385"/>
      <c r="H308" s="385"/>
      <c r="I308" s="385"/>
      <c r="J308" s="385"/>
      <c r="K308" s="385"/>
      <c r="L308" s="385"/>
      <c r="M308" s="385"/>
      <c r="N308" s="385"/>
      <c r="O308" s="385"/>
    </row>
    <row r="309" spans="2:16" ht="15" customHeight="1" x14ac:dyDescent="0.25">
      <c r="C309" s="390"/>
      <c r="F309" s="385"/>
      <c r="G309" s="385"/>
      <c r="H309" s="385"/>
      <c r="I309" s="385"/>
      <c r="J309" s="385"/>
      <c r="K309" s="385"/>
      <c r="L309" s="385"/>
      <c r="M309" s="385"/>
      <c r="N309" s="385"/>
      <c r="O309" s="385"/>
    </row>
    <row r="310" spans="2:16" ht="15" customHeight="1" x14ac:dyDescent="0.25">
      <c r="F310" s="385"/>
      <c r="G310" s="385"/>
      <c r="H310" s="385"/>
      <c r="I310" s="385"/>
      <c r="J310" s="385"/>
      <c r="K310" s="385"/>
      <c r="L310" s="385"/>
      <c r="M310" s="385"/>
      <c r="N310" s="385"/>
      <c r="O310" s="385"/>
    </row>
    <row r="311" spans="2:16" ht="15" customHeight="1" x14ac:dyDescent="0.25">
      <c r="M311" s="391"/>
      <c r="N311" s="391"/>
      <c r="O311" s="391"/>
      <c r="P311" s="392"/>
    </row>
    <row r="312" spans="2:16" ht="15" customHeight="1" x14ac:dyDescent="0.25">
      <c r="M312" s="391"/>
      <c r="N312" s="391"/>
      <c r="O312" s="391"/>
      <c r="P312" s="392"/>
    </row>
    <row r="313" spans="2:16" ht="15" customHeight="1" x14ac:dyDescent="0.25">
      <c r="M313" s="391"/>
      <c r="N313" s="391"/>
      <c r="O313" s="391"/>
      <c r="P313" s="392"/>
    </row>
    <row r="314" spans="2:16" ht="15" customHeight="1" x14ac:dyDescent="0.25">
      <c r="M314" s="391"/>
      <c r="N314" s="391"/>
      <c r="O314" s="391"/>
      <c r="P314" s="392"/>
    </row>
    <row r="315" spans="2:16" ht="15" customHeight="1" x14ac:dyDescent="0.25">
      <c r="M315" s="391"/>
      <c r="N315" s="391"/>
      <c r="O315" s="391"/>
      <c r="P315" s="392"/>
    </row>
    <row r="316" spans="2:16" ht="15" customHeight="1" x14ac:dyDescent="0.25">
      <c r="M316" s="391"/>
      <c r="N316" s="391"/>
      <c r="O316" s="391"/>
    </row>
    <row r="317" spans="2:16" ht="15" customHeight="1" x14ac:dyDescent="0.25"/>
    <row r="318" spans="2:16" ht="15" customHeight="1" x14ac:dyDescent="0.25"/>
    <row r="319" spans="2:16" ht="15" customHeight="1" x14ac:dyDescent="0.25"/>
    <row r="320" spans="2:16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</sheetData>
  <protectedRanges>
    <protectedRange sqref="K30:L50" name="Range1_1"/>
  </protectedRanges>
  <mergeCells count="11">
    <mergeCell ref="A30:D30"/>
    <mergeCell ref="F30:G30"/>
    <mergeCell ref="A4:G4"/>
    <mergeCell ref="A5:G5"/>
    <mergeCell ref="A6:G6"/>
    <mergeCell ref="A9:A10"/>
    <mergeCell ref="B9:B10"/>
    <mergeCell ref="C9:C10"/>
    <mergeCell ref="D9:D10"/>
    <mergeCell ref="F9:F10"/>
    <mergeCell ref="G9:G10"/>
  </mergeCells>
  <pageMargins left="0.7" right="0.7" top="0.75" bottom="0.75" header="0.3" footer="0.3"/>
  <pageSetup paperSize="9" scale="75" fitToWidth="0" orientation="landscape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rgb="FFFFFF00"/>
  </sheetPr>
  <dimension ref="A1:Q515"/>
  <sheetViews>
    <sheetView zoomScale="70" zoomScaleNormal="70" workbookViewId="0">
      <selection activeCell="R6" sqref="R6"/>
    </sheetView>
  </sheetViews>
  <sheetFormatPr defaultColWidth="9.140625" defaultRowHeight="12.75" outlineLevelRow="1" outlineLevelCol="1" x14ac:dyDescent="0.2"/>
  <cols>
    <col min="1" max="1" width="2" style="114" customWidth="1"/>
    <col min="2" max="2" width="7.140625" style="118" customWidth="1" outlineLevel="1"/>
    <col min="3" max="3" width="6.5703125" style="19" customWidth="1" outlineLevel="1"/>
    <col min="4" max="4" width="9.42578125" style="19" customWidth="1" outlineLevel="1"/>
    <col min="5" max="5" width="6.85546875" style="20" customWidth="1" outlineLevel="1"/>
    <col min="6" max="6" width="53.85546875" style="21" customWidth="1" outlineLevel="1"/>
    <col min="7" max="7" width="11.140625" style="142" customWidth="1" outlineLevel="1"/>
    <col min="8" max="8" width="6.5703125" style="143" customWidth="1" outlineLevel="1"/>
    <col min="9" max="10" width="6.28515625" style="23" customWidth="1" outlineLevel="1"/>
    <col min="11" max="11" width="10.85546875" style="22" customWidth="1" outlineLevel="1"/>
    <col min="12" max="12" width="14.28515625" style="119" customWidth="1" outlineLevel="1"/>
    <col min="13" max="13" width="9.140625" style="144" outlineLevel="1"/>
    <col min="14" max="15" width="11.7109375" style="118" customWidth="1" outlineLevel="1"/>
    <col min="16" max="16" width="14.85546875" style="118" customWidth="1" outlineLevel="1"/>
    <col min="17" max="17" width="5.7109375" style="118" customWidth="1"/>
    <col min="18" max="16384" width="9.140625" style="118"/>
  </cols>
  <sheetData>
    <row r="1" spans="1:17" ht="5.25" customHeight="1" thickBot="1" x14ac:dyDescent="0.3">
      <c r="B1" s="114"/>
      <c r="C1" s="24"/>
      <c r="D1" s="24"/>
      <c r="E1" s="62"/>
      <c r="F1" s="63"/>
      <c r="G1" s="115"/>
      <c r="H1" s="116"/>
      <c r="I1" s="173"/>
      <c r="J1" s="173"/>
      <c r="K1" s="64"/>
      <c r="L1" s="25"/>
      <c r="M1" s="117"/>
      <c r="N1" s="114"/>
      <c r="O1" s="114"/>
      <c r="P1" s="114"/>
    </row>
    <row r="2" spans="1:17" ht="53.25" customHeight="1" x14ac:dyDescent="0.2">
      <c r="B2" s="1461" t="s">
        <v>1177</v>
      </c>
      <c r="C2" s="1462"/>
      <c r="D2" s="1462"/>
      <c r="E2" s="1462"/>
      <c r="F2" s="1462"/>
      <c r="G2" s="1462"/>
      <c r="H2" s="1462"/>
      <c r="I2" s="1462"/>
      <c r="J2" s="1462"/>
      <c r="K2" s="1462"/>
      <c r="L2" s="1462"/>
      <c r="M2" s="1462"/>
      <c r="N2" s="1462"/>
      <c r="O2" s="1462"/>
      <c r="P2" s="1463"/>
      <c r="Q2" s="1464" t="s">
        <v>1175</v>
      </c>
    </row>
    <row r="3" spans="1:17" x14ac:dyDescent="0.2">
      <c r="B3" s="120"/>
      <c r="C3" s="68"/>
      <c r="D3" s="68"/>
      <c r="E3" s="69"/>
      <c r="F3" s="70"/>
      <c r="G3" s="122"/>
      <c r="H3" s="123"/>
      <c r="I3" s="89"/>
      <c r="J3" s="89"/>
      <c r="K3" s="71"/>
      <c r="L3" s="80"/>
      <c r="M3" s="93"/>
      <c r="N3" s="121"/>
      <c r="O3" s="121"/>
      <c r="P3" s="124"/>
      <c r="Q3" s="1465"/>
    </row>
    <row r="4" spans="1:17" ht="27.75" customHeight="1" x14ac:dyDescent="0.2">
      <c r="B4" s="1459" t="s">
        <v>1176</v>
      </c>
      <c r="C4" s="1460"/>
      <c r="D4" s="1460"/>
      <c r="E4" s="1460"/>
      <c r="F4" s="1460"/>
      <c r="G4" s="122"/>
      <c r="H4" s="123"/>
      <c r="I4" s="89"/>
      <c r="J4" s="89"/>
      <c r="K4" s="71"/>
      <c r="L4" s="80"/>
      <c r="M4" s="93"/>
      <c r="N4" s="121"/>
      <c r="O4" s="121"/>
      <c r="P4" s="124"/>
      <c r="Q4" s="1465"/>
    </row>
    <row r="5" spans="1:17" ht="13.5" thickBot="1" x14ac:dyDescent="0.25">
      <c r="B5" s="120"/>
      <c r="C5" s="68"/>
      <c r="D5" s="68"/>
      <c r="E5" s="69"/>
      <c r="F5" s="70"/>
      <c r="G5" s="122"/>
      <c r="H5" s="123"/>
      <c r="I5" s="89"/>
      <c r="J5" s="89"/>
      <c r="K5" s="71"/>
      <c r="L5" s="80"/>
      <c r="M5" s="93"/>
      <c r="N5" s="121"/>
      <c r="O5" s="121"/>
      <c r="P5" s="124"/>
      <c r="Q5" s="1466"/>
    </row>
    <row r="6" spans="1:17" ht="26.45" x14ac:dyDescent="0.25">
      <c r="B6" s="72" t="s">
        <v>84</v>
      </c>
      <c r="C6" s="65" t="s">
        <v>85</v>
      </c>
      <c r="D6" s="65" t="s">
        <v>426</v>
      </c>
      <c r="E6" s="65" t="s">
        <v>86</v>
      </c>
      <c r="F6" s="65" t="s">
        <v>87</v>
      </c>
      <c r="G6" s="65" t="s">
        <v>0</v>
      </c>
      <c r="H6" s="65" t="s">
        <v>7</v>
      </c>
      <c r="I6" s="174" t="s">
        <v>452</v>
      </c>
      <c r="J6" s="174" t="s">
        <v>502</v>
      </c>
      <c r="K6" s="66" t="s">
        <v>88</v>
      </c>
      <c r="L6" s="67" t="s">
        <v>424</v>
      </c>
      <c r="M6" s="174" t="s">
        <v>423</v>
      </c>
      <c r="N6" s="67" t="s">
        <v>424</v>
      </c>
      <c r="O6" s="102" t="s">
        <v>424</v>
      </c>
      <c r="P6" s="73" t="s">
        <v>425</v>
      </c>
    </row>
    <row r="7" spans="1:17" s="153" customFormat="1" ht="16.899999999999999" x14ac:dyDescent="0.55000000000000004">
      <c r="A7" s="172"/>
      <c r="B7" s="145"/>
      <c r="C7" s="106" t="s">
        <v>89</v>
      </c>
      <c r="D7" s="106"/>
      <c r="E7" s="109"/>
      <c r="F7" s="166"/>
      <c r="G7" s="167"/>
      <c r="H7" s="168"/>
      <c r="I7" s="175"/>
      <c r="J7" s="175"/>
      <c r="K7" s="111"/>
      <c r="L7" s="110"/>
      <c r="M7" s="170"/>
      <c r="N7" s="169"/>
      <c r="O7" s="169"/>
      <c r="P7" s="136">
        <f>P8+P9+P158+P172+P290+P411+P461+P467</f>
        <v>0</v>
      </c>
    </row>
    <row r="8" spans="1:17" s="153" customFormat="1" ht="16.899999999999999" x14ac:dyDescent="0.55000000000000004">
      <c r="A8" s="172"/>
      <c r="B8" s="145"/>
      <c r="C8" s="74"/>
      <c r="D8" s="154" t="s">
        <v>90</v>
      </c>
      <c r="E8" s="108"/>
      <c r="F8" s="155"/>
      <c r="G8" s="156"/>
      <c r="H8" s="157"/>
      <c r="I8" s="176"/>
      <c r="J8" s="176"/>
      <c r="K8" s="159"/>
      <c r="L8" s="160"/>
      <c r="M8" s="161">
        <v>0</v>
      </c>
      <c r="N8" s="158"/>
      <c r="O8" s="158"/>
      <c r="P8" s="125">
        <v>0</v>
      </c>
    </row>
    <row r="9" spans="1:17" s="153" customFormat="1" ht="13.15" x14ac:dyDescent="0.25">
      <c r="A9" s="172"/>
      <c r="B9" s="145"/>
      <c r="C9" s="74"/>
      <c r="D9" s="154" t="s">
        <v>91</v>
      </c>
      <c r="E9" s="108"/>
      <c r="F9" s="155"/>
      <c r="G9" s="156"/>
      <c r="H9" s="157"/>
      <c r="I9" s="176"/>
      <c r="J9" s="176"/>
      <c r="K9" s="159"/>
      <c r="L9" s="160"/>
      <c r="M9" s="161"/>
      <c r="N9" s="158"/>
      <c r="O9" s="158"/>
      <c r="P9" s="181">
        <f>P10+P88</f>
        <v>0</v>
      </c>
    </row>
    <row r="10" spans="1:17" s="153" customFormat="1" ht="16.899999999999999" x14ac:dyDescent="0.55000000000000004">
      <c r="A10" s="172"/>
      <c r="B10" s="145"/>
      <c r="C10" s="74"/>
      <c r="D10" s="179"/>
      <c r="E10" s="107" t="s">
        <v>421</v>
      </c>
      <c r="F10" s="162"/>
      <c r="G10" s="163"/>
      <c r="H10" s="164"/>
      <c r="I10" s="177"/>
      <c r="J10" s="177"/>
      <c r="K10" s="149"/>
      <c r="L10" s="150"/>
      <c r="M10" s="151">
        <v>1</v>
      </c>
      <c r="N10" s="148"/>
      <c r="O10" s="148"/>
      <c r="P10" s="126">
        <f>SUM(P11:P87)</f>
        <v>0</v>
      </c>
    </row>
    <row r="11" spans="1:17" ht="13.15" outlineLevel="1" x14ac:dyDescent="0.25">
      <c r="B11" s="120"/>
      <c r="C11" s="68"/>
      <c r="D11" s="68"/>
      <c r="E11" s="77" t="s">
        <v>503</v>
      </c>
      <c r="F11" s="70"/>
      <c r="G11" s="104">
        <v>0</v>
      </c>
      <c r="H11" s="103" t="s">
        <v>3</v>
      </c>
      <c r="I11" s="89"/>
      <c r="J11" s="89"/>
      <c r="K11" s="71"/>
      <c r="L11" s="127"/>
      <c r="M11" s="93"/>
      <c r="N11" s="121"/>
      <c r="O11" s="121"/>
      <c r="P11" s="124"/>
    </row>
    <row r="12" spans="1:17" ht="13.15" outlineLevel="1" x14ac:dyDescent="0.25">
      <c r="B12" s="120"/>
      <c r="C12" s="68"/>
      <c r="D12" s="68"/>
      <c r="E12" s="69"/>
      <c r="F12" s="68" t="s">
        <v>450</v>
      </c>
      <c r="G12" s="122">
        <f>I12*G11</f>
        <v>0</v>
      </c>
      <c r="H12" s="78" t="s">
        <v>3</v>
      </c>
      <c r="I12" s="79">
        <v>0.1</v>
      </c>
      <c r="J12" s="79" t="s">
        <v>457</v>
      </c>
      <c r="K12" s="71" t="s">
        <v>92</v>
      </c>
      <c r="L12" s="80">
        <v>12.5</v>
      </c>
      <c r="M12" s="93"/>
      <c r="N12" s="128">
        <f>L12*M$10</f>
        <v>12.5</v>
      </c>
      <c r="O12" s="128">
        <f>N12</f>
        <v>12.5</v>
      </c>
      <c r="P12" s="129">
        <f t="shared" ref="P12:P18" si="0">G12*O12</f>
        <v>0</v>
      </c>
    </row>
    <row r="13" spans="1:17" ht="13.15" outlineLevel="1" x14ac:dyDescent="0.25">
      <c r="B13" s="120"/>
      <c r="C13" s="68"/>
      <c r="D13" s="68"/>
      <c r="E13" s="69"/>
      <c r="F13" s="68" t="s">
        <v>93</v>
      </c>
      <c r="G13" s="122">
        <f>G11</f>
        <v>0</v>
      </c>
      <c r="H13" s="78" t="s">
        <v>3</v>
      </c>
      <c r="I13" s="121"/>
      <c r="J13" s="89"/>
      <c r="K13" s="71" t="s">
        <v>94</v>
      </c>
      <c r="L13" s="80">
        <v>18.5</v>
      </c>
      <c r="M13" s="93"/>
      <c r="N13" s="128">
        <f t="shared" ref="N13:N85" si="1">L13*M$10</f>
        <v>18.5</v>
      </c>
      <c r="O13" s="128">
        <f t="shared" ref="O13:O18" si="2">N13</f>
        <v>18.5</v>
      </c>
      <c r="P13" s="129">
        <f t="shared" si="0"/>
        <v>0</v>
      </c>
    </row>
    <row r="14" spans="1:17" ht="13.15" outlineLevel="1" x14ac:dyDescent="0.25">
      <c r="B14" s="120"/>
      <c r="C14" s="68"/>
      <c r="D14" s="68"/>
      <c r="E14" s="69"/>
      <c r="F14" s="68" t="s">
        <v>95</v>
      </c>
      <c r="G14" s="131">
        <f>G11*4*0.2</f>
        <v>0</v>
      </c>
      <c r="H14" s="78" t="s">
        <v>75</v>
      </c>
      <c r="I14" s="121"/>
      <c r="J14" s="89"/>
      <c r="K14" s="71"/>
      <c r="L14" s="80">
        <v>10.5</v>
      </c>
      <c r="M14" s="93"/>
      <c r="N14" s="128">
        <f t="shared" si="1"/>
        <v>10.5</v>
      </c>
      <c r="O14" s="128">
        <f t="shared" si="2"/>
        <v>10.5</v>
      </c>
      <c r="P14" s="129">
        <f t="shared" si="0"/>
        <v>0</v>
      </c>
    </row>
    <row r="15" spans="1:17" ht="13.15" outlineLevel="1" x14ac:dyDescent="0.25">
      <c r="B15" s="120"/>
      <c r="C15" s="68"/>
      <c r="D15" s="68"/>
      <c r="E15" s="69"/>
      <c r="F15" s="68" t="s">
        <v>96</v>
      </c>
      <c r="G15" s="122">
        <f>G14</f>
        <v>0</v>
      </c>
      <c r="H15" s="78" t="s">
        <v>1</v>
      </c>
      <c r="I15" s="121"/>
      <c r="J15" s="89"/>
      <c r="K15" s="71"/>
      <c r="L15" s="80">
        <v>30</v>
      </c>
      <c r="M15" s="93"/>
      <c r="N15" s="128">
        <f t="shared" si="1"/>
        <v>30</v>
      </c>
      <c r="O15" s="128">
        <f t="shared" si="2"/>
        <v>30</v>
      </c>
      <c r="P15" s="129">
        <f t="shared" si="0"/>
        <v>0</v>
      </c>
    </row>
    <row r="16" spans="1:17" ht="13.15" outlineLevel="1" x14ac:dyDescent="0.25">
      <c r="B16" s="120"/>
      <c r="C16" s="68"/>
      <c r="D16" s="68"/>
      <c r="E16" s="69"/>
      <c r="F16" s="68" t="s">
        <v>97</v>
      </c>
      <c r="G16" s="122">
        <f>100*G17</f>
        <v>0</v>
      </c>
      <c r="H16" s="78" t="s">
        <v>9</v>
      </c>
      <c r="I16" s="121"/>
      <c r="J16" s="89"/>
      <c r="K16" s="71"/>
      <c r="L16" s="80">
        <v>5</v>
      </c>
      <c r="M16" s="93"/>
      <c r="N16" s="128">
        <f t="shared" si="1"/>
        <v>5</v>
      </c>
      <c r="O16" s="128">
        <f t="shared" si="2"/>
        <v>5</v>
      </c>
      <c r="P16" s="129">
        <f t="shared" si="0"/>
        <v>0</v>
      </c>
    </row>
    <row r="17" spans="2:16" ht="13.15" outlineLevel="1" x14ac:dyDescent="0.25">
      <c r="B17" s="120"/>
      <c r="C17" s="68"/>
      <c r="D17" s="68"/>
      <c r="E17" s="69"/>
      <c r="F17" s="68" t="s">
        <v>513</v>
      </c>
      <c r="G17" s="122">
        <f>0.12*G11</f>
        <v>0</v>
      </c>
      <c r="H17" s="78" t="s">
        <v>4</v>
      </c>
      <c r="I17" s="121"/>
      <c r="J17" s="89"/>
      <c r="K17" s="71"/>
      <c r="L17" s="80">
        <v>450</v>
      </c>
      <c r="M17" s="93"/>
      <c r="N17" s="128">
        <f t="shared" si="1"/>
        <v>450</v>
      </c>
      <c r="O17" s="128">
        <f t="shared" si="2"/>
        <v>450</v>
      </c>
      <c r="P17" s="129">
        <f t="shared" si="0"/>
        <v>0</v>
      </c>
    </row>
    <row r="18" spans="2:16" ht="13.15" outlineLevel="1" x14ac:dyDescent="0.25">
      <c r="B18" s="120"/>
      <c r="C18" s="68"/>
      <c r="D18" s="68"/>
      <c r="E18" s="69"/>
      <c r="F18" s="68" t="s">
        <v>295</v>
      </c>
      <c r="G18" s="122">
        <f>G12*0.02*2+G16/1000</f>
        <v>0</v>
      </c>
      <c r="H18" s="78" t="s">
        <v>8</v>
      </c>
      <c r="I18" s="121"/>
      <c r="J18" s="89"/>
      <c r="K18" s="71"/>
      <c r="L18" s="80">
        <v>25</v>
      </c>
      <c r="M18" s="93"/>
      <c r="N18" s="128">
        <f t="shared" si="1"/>
        <v>25</v>
      </c>
      <c r="O18" s="128">
        <f t="shared" si="2"/>
        <v>25</v>
      </c>
      <c r="P18" s="129">
        <f t="shared" si="0"/>
        <v>0</v>
      </c>
    </row>
    <row r="19" spans="2:16" ht="13.15" outlineLevel="1" x14ac:dyDescent="0.25">
      <c r="B19" s="120"/>
      <c r="C19" s="68"/>
      <c r="D19" s="68"/>
      <c r="E19" s="77" t="s">
        <v>522</v>
      </c>
      <c r="F19" s="70"/>
      <c r="G19" s="213">
        <v>0</v>
      </c>
      <c r="H19" s="103" t="s">
        <v>2</v>
      </c>
      <c r="I19" s="89"/>
      <c r="J19" s="89"/>
      <c r="K19" s="71"/>
      <c r="L19" s="80"/>
      <c r="M19" s="93"/>
      <c r="N19" s="128">
        <f t="shared" si="1"/>
        <v>0</v>
      </c>
      <c r="O19" s="121"/>
      <c r="P19" s="124"/>
    </row>
    <row r="20" spans="2:16" ht="13.15" outlineLevel="1" x14ac:dyDescent="0.25">
      <c r="B20" s="120"/>
      <c r="C20" s="68"/>
      <c r="D20" s="68"/>
      <c r="E20" s="69"/>
      <c r="F20" s="68" t="s">
        <v>450</v>
      </c>
      <c r="G20" s="131">
        <f>G19*3.6*I20</f>
        <v>0</v>
      </c>
      <c r="H20" s="78" t="s">
        <v>3</v>
      </c>
      <c r="I20" s="79">
        <v>0.9</v>
      </c>
      <c r="J20" s="79" t="s">
        <v>453</v>
      </c>
      <c r="K20" s="71" t="s">
        <v>92</v>
      </c>
      <c r="L20" s="80">
        <v>12.5</v>
      </c>
      <c r="M20" s="93"/>
      <c r="N20" s="128">
        <f t="shared" si="1"/>
        <v>12.5</v>
      </c>
      <c r="O20" s="128">
        <f>N20</f>
        <v>12.5</v>
      </c>
      <c r="P20" s="129">
        <f t="shared" ref="P20:P28" si="3">G20*O20</f>
        <v>0</v>
      </c>
    </row>
    <row r="21" spans="2:16" ht="13.15" outlineLevel="1" x14ac:dyDescent="0.25">
      <c r="B21" s="120"/>
      <c r="C21" s="68"/>
      <c r="D21" s="68"/>
      <c r="E21" s="69"/>
      <c r="F21" s="68" t="s">
        <v>93</v>
      </c>
      <c r="G21" s="209">
        <f>G20</f>
        <v>0</v>
      </c>
      <c r="H21" s="78" t="s">
        <v>3</v>
      </c>
      <c r="I21" s="121"/>
      <c r="J21" s="89"/>
      <c r="K21" s="71" t="s">
        <v>94</v>
      </c>
      <c r="L21" s="80">
        <v>18.5</v>
      </c>
      <c r="M21" s="93"/>
      <c r="N21" s="128">
        <f t="shared" si="1"/>
        <v>18.5</v>
      </c>
      <c r="O21" s="128">
        <f t="shared" ref="O21:O37" si="4">N21</f>
        <v>18.5</v>
      </c>
      <c r="P21" s="129">
        <f t="shared" si="3"/>
        <v>0</v>
      </c>
    </row>
    <row r="22" spans="2:16" ht="13.15" outlineLevel="1" x14ac:dyDescent="0.25">
      <c r="B22" s="120"/>
      <c r="C22" s="68"/>
      <c r="D22" s="68"/>
      <c r="E22" s="69"/>
      <c r="F22" s="68" t="s">
        <v>95</v>
      </c>
      <c r="G22" s="131">
        <f>G20*6*0.3</f>
        <v>0</v>
      </c>
      <c r="H22" s="78" t="s">
        <v>75</v>
      </c>
      <c r="I22" s="121"/>
      <c r="J22" s="89"/>
      <c r="K22" s="71"/>
      <c r="L22" s="80">
        <v>10.5</v>
      </c>
      <c r="M22" s="93"/>
      <c r="N22" s="128">
        <f t="shared" si="1"/>
        <v>10.5</v>
      </c>
      <c r="O22" s="128">
        <f t="shared" si="4"/>
        <v>10.5</v>
      </c>
      <c r="P22" s="129">
        <f t="shared" si="3"/>
        <v>0</v>
      </c>
    </row>
    <row r="23" spans="2:16" ht="13.15" outlineLevel="1" x14ac:dyDescent="0.25">
      <c r="B23" s="120"/>
      <c r="C23" s="68"/>
      <c r="D23" s="68"/>
      <c r="E23" s="77"/>
      <c r="F23" s="68" t="s">
        <v>574</v>
      </c>
      <c r="G23" s="209">
        <f>G22</f>
        <v>0</v>
      </c>
      <c r="H23" s="78" t="s">
        <v>75</v>
      </c>
      <c r="I23" s="121"/>
      <c r="J23" s="89"/>
      <c r="K23" s="71" t="s">
        <v>573</v>
      </c>
      <c r="L23" s="80">
        <v>10</v>
      </c>
      <c r="M23" s="93"/>
      <c r="N23" s="128">
        <f t="shared" si="1"/>
        <v>10</v>
      </c>
      <c r="O23" s="128">
        <f t="shared" si="4"/>
        <v>10</v>
      </c>
      <c r="P23" s="129">
        <f t="shared" si="3"/>
        <v>0</v>
      </c>
    </row>
    <row r="24" spans="2:16" ht="13.15" outlineLevel="1" x14ac:dyDescent="0.25">
      <c r="B24" s="120"/>
      <c r="C24" s="68"/>
      <c r="D24" s="68"/>
      <c r="E24" s="77"/>
      <c r="F24" s="68" t="s">
        <v>96</v>
      </c>
      <c r="G24" s="131">
        <v>0</v>
      </c>
      <c r="H24" s="78" t="s">
        <v>1</v>
      </c>
      <c r="I24" s="121"/>
      <c r="J24" s="89"/>
      <c r="K24" s="71"/>
      <c r="L24" s="80">
        <v>30</v>
      </c>
      <c r="M24" s="93"/>
      <c r="N24" s="128">
        <f t="shared" si="1"/>
        <v>30</v>
      </c>
      <c r="O24" s="128">
        <f t="shared" si="4"/>
        <v>30</v>
      </c>
      <c r="P24" s="129">
        <f t="shared" si="3"/>
        <v>0</v>
      </c>
    </row>
    <row r="25" spans="2:16" ht="13.15" outlineLevel="1" x14ac:dyDescent="0.25">
      <c r="B25" s="120"/>
      <c r="C25" s="68"/>
      <c r="D25" s="68"/>
      <c r="E25" s="77"/>
      <c r="F25" s="68" t="s">
        <v>97</v>
      </c>
      <c r="G25" s="122">
        <f>G27*100</f>
        <v>0</v>
      </c>
      <c r="H25" s="78" t="s">
        <v>9</v>
      </c>
      <c r="I25" s="121"/>
      <c r="J25" s="89"/>
      <c r="K25" s="71"/>
      <c r="L25" s="80">
        <v>5</v>
      </c>
      <c r="M25" s="93"/>
      <c r="N25" s="128">
        <f t="shared" si="1"/>
        <v>5</v>
      </c>
      <c r="O25" s="128">
        <f t="shared" si="4"/>
        <v>5</v>
      </c>
      <c r="P25" s="129">
        <f t="shared" si="3"/>
        <v>0</v>
      </c>
    </row>
    <row r="26" spans="2:16" ht="13.15" outlineLevel="1" x14ac:dyDescent="0.25">
      <c r="B26" s="120"/>
      <c r="C26" s="68"/>
      <c r="D26" s="68"/>
      <c r="E26" s="77"/>
      <c r="F26" s="68" t="s">
        <v>575</v>
      </c>
      <c r="G26" s="122">
        <f>G20</f>
        <v>0</v>
      </c>
      <c r="H26" s="78" t="s">
        <v>3</v>
      </c>
      <c r="I26" s="121"/>
      <c r="J26" s="89"/>
      <c r="K26" s="71"/>
      <c r="L26" s="80">
        <v>16.5</v>
      </c>
      <c r="M26" s="93"/>
      <c r="N26" s="128">
        <f t="shared" si="1"/>
        <v>16.5</v>
      </c>
      <c r="O26" s="128">
        <f t="shared" si="4"/>
        <v>16.5</v>
      </c>
      <c r="P26" s="129">
        <f t="shared" si="3"/>
        <v>0</v>
      </c>
    </row>
    <row r="27" spans="2:16" ht="13.15" outlineLevel="1" x14ac:dyDescent="0.25">
      <c r="B27" s="120"/>
      <c r="C27" s="68"/>
      <c r="D27" s="68"/>
      <c r="E27" s="77"/>
      <c r="F27" s="68" t="s">
        <v>513</v>
      </c>
      <c r="G27" s="131">
        <f>0.12*G20</f>
        <v>0</v>
      </c>
      <c r="H27" s="78" t="s">
        <v>4</v>
      </c>
      <c r="I27" s="121"/>
      <c r="J27" s="89"/>
      <c r="K27" s="71"/>
      <c r="L27" s="80">
        <v>450</v>
      </c>
      <c r="M27" s="93"/>
      <c r="N27" s="128">
        <f t="shared" si="1"/>
        <v>450</v>
      </c>
      <c r="O27" s="128">
        <f t="shared" si="4"/>
        <v>450</v>
      </c>
      <c r="P27" s="129">
        <f t="shared" si="3"/>
        <v>0</v>
      </c>
    </row>
    <row r="28" spans="2:16" ht="13.15" outlineLevel="1" x14ac:dyDescent="0.25">
      <c r="B28" s="120"/>
      <c r="C28" s="68"/>
      <c r="D28" s="68"/>
      <c r="E28" s="77"/>
      <c r="F28" s="68" t="s">
        <v>295</v>
      </c>
      <c r="G28" s="122">
        <f>G20*0.02*2+G25/1000+G26*0.02*1.75</f>
        <v>0</v>
      </c>
      <c r="H28" s="78" t="s">
        <v>8</v>
      </c>
      <c r="I28" s="121"/>
      <c r="J28" s="89"/>
      <c r="K28" s="71"/>
      <c r="L28" s="80">
        <v>25</v>
      </c>
      <c r="M28" s="93"/>
      <c r="N28" s="128">
        <f t="shared" si="1"/>
        <v>25</v>
      </c>
      <c r="O28" s="128">
        <f t="shared" si="4"/>
        <v>25</v>
      </c>
      <c r="P28" s="129">
        <f t="shared" si="3"/>
        <v>0</v>
      </c>
    </row>
    <row r="29" spans="2:16" ht="13.15" outlineLevel="1" x14ac:dyDescent="0.25">
      <c r="B29" s="120"/>
      <c r="C29" s="68"/>
      <c r="D29" s="68"/>
      <c r="E29" s="77" t="s">
        <v>523</v>
      </c>
      <c r="F29" s="68"/>
      <c r="G29" s="213">
        <f>G19</f>
        <v>0</v>
      </c>
      <c r="H29" s="103" t="s">
        <v>2</v>
      </c>
      <c r="I29" s="89"/>
      <c r="J29" s="89"/>
      <c r="K29" s="71"/>
      <c r="L29" s="80"/>
      <c r="M29" s="93"/>
      <c r="N29" s="128">
        <f t="shared" si="1"/>
        <v>0</v>
      </c>
      <c r="O29" s="121"/>
      <c r="P29" s="124"/>
    </row>
    <row r="30" spans="2:16" ht="13.15" outlineLevel="1" x14ac:dyDescent="0.25">
      <c r="B30" s="120"/>
      <c r="C30" s="68"/>
      <c r="D30" s="68"/>
      <c r="E30" s="77"/>
      <c r="F30" s="68" t="s">
        <v>486</v>
      </c>
      <c r="G30" s="131">
        <f>G31*1</f>
        <v>0</v>
      </c>
      <c r="H30" s="123" t="s">
        <v>4</v>
      </c>
      <c r="I30" s="121"/>
      <c r="J30" s="89"/>
      <c r="K30" s="71" t="s">
        <v>485</v>
      </c>
      <c r="L30" s="127">
        <v>31.9</v>
      </c>
      <c r="M30" s="93"/>
      <c r="N30" s="128">
        <f t="shared" si="1"/>
        <v>31.9</v>
      </c>
      <c r="O30" s="128">
        <f t="shared" ref="O30:O32" si="5">N30</f>
        <v>31.9</v>
      </c>
      <c r="P30" s="129">
        <f t="shared" ref="P30:P37" si="6">G30*O30</f>
        <v>0</v>
      </c>
    </row>
    <row r="31" spans="2:16" ht="13.15" outlineLevel="1" x14ac:dyDescent="0.25">
      <c r="B31" s="120"/>
      <c r="C31" s="68"/>
      <c r="D31" s="68"/>
      <c r="E31" s="77"/>
      <c r="F31" s="68" t="s">
        <v>459</v>
      </c>
      <c r="G31" s="131">
        <f>G29*0.5</f>
        <v>0</v>
      </c>
      <c r="H31" s="78" t="s">
        <v>3</v>
      </c>
      <c r="I31" s="121"/>
      <c r="J31" s="89"/>
      <c r="K31" s="71"/>
      <c r="L31" s="127">
        <v>25</v>
      </c>
      <c r="M31" s="93"/>
      <c r="N31" s="128">
        <f>L31*M10</f>
        <v>25</v>
      </c>
      <c r="O31" s="128">
        <f t="shared" si="5"/>
        <v>25</v>
      </c>
      <c r="P31" s="129">
        <f t="shared" si="6"/>
        <v>0</v>
      </c>
    </row>
    <row r="32" spans="2:16" ht="13.15" outlineLevel="1" x14ac:dyDescent="0.25">
      <c r="B32" s="120"/>
      <c r="C32" s="68"/>
      <c r="D32" s="68"/>
      <c r="E32" s="77"/>
      <c r="F32" s="68" t="s">
        <v>497</v>
      </c>
      <c r="G32" s="122">
        <f>G31</f>
        <v>0</v>
      </c>
      <c r="H32" s="78" t="s">
        <v>3</v>
      </c>
      <c r="I32" s="121"/>
      <c r="J32" s="89"/>
      <c r="K32" s="71" t="s">
        <v>120</v>
      </c>
      <c r="L32" s="80">
        <v>58.5</v>
      </c>
      <c r="M32" s="93"/>
      <c r="N32" s="128">
        <f>L32*M10</f>
        <v>58.5</v>
      </c>
      <c r="O32" s="128">
        <f t="shared" si="5"/>
        <v>58.5</v>
      </c>
      <c r="P32" s="129">
        <f t="shared" si="6"/>
        <v>0</v>
      </c>
    </row>
    <row r="33" spans="2:16" ht="13.15" outlineLevel="1" x14ac:dyDescent="0.25">
      <c r="B33" s="120"/>
      <c r="C33" s="68"/>
      <c r="D33" s="68"/>
      <c r="E33" s="77"/>
      <c r="F33" s="68" t="s">
        <v>93</v>
      </c>
      <c r="G33" s="131">
        <f>G29*1</f>
        <v>0</v>
      </c>
      <c r="H33" s="78" t="s">
        <v>3</v>
      </c>
      <c r="I33" s="121"/>
      <c r="J33" s="89"/>
      <c r="K33" s="71" t="s">
        <v>94</v>
      </c>
      <c r="L33" s="80">
        <v>18.5</v>
      </c>
      <c r="M33" s="93"/>
      <c r="N33" s="128">
        <f t="shared" si="1"/>
        <v>18.5</v>
      </c>
      <c r="O33" s="128">
        <f t="shared" si="4"/>
        <v>18.5</v>
      </c>
      <c r="P33" s="129">
        <f t="shared" si="6"/>
        <v>0</v>
      </c>
    </row>
    <row r="34" spans="2:16" ht="13.15" outlineLevel="1" x14ac:dyDescent="0.25">
      <c r="B34" s="120"/>
      <c r="C34" s="68"/>
      <c r="D34" s="68"/>
      <c r="E34" s="77"/>
      <c r="F34" s="68" t="s">
        <v>98</v>
      </c>
      <c r="G34" s="122">
        <f>G36*100</f>
        <v>0</v>
      </c>
      <c r="H34" s="78" t="s">
        <v>9</v>
      </c>
      <c r="I34" s="121"/>
      <c r="J34" s="89"/>
      <c r="K34" s="71"/>
      <c r="L34" s="80">
        <v>5</v>
      </c>
      <c r="M34" s="93"/>
      <c r="N34" s="128">
        <f t="shared" si="1"/>
        <v>5</v>
      </c>
      <c r="O34" s="128">
        <f t="shared" si="4"/>
        <v>5</v>
      </c>
      <c r="P34" s="129">
        <f t="shared" si="6"/>
        <v>0</v>
      </c>
    </row>
    <row r="35" spans="2:16" ht="13.15" outlineLevel="1" x14ac:dyDescent="0.25">
      <c r="B35" s="120"/>
      <c r="C35" s="68"/>
      <c r="D35" s="68"/>
      <c r="E35" s="77"/>
      <c r="F35" s="68" t="s">
        <v>443</v>
      </c>
      <c r="G35" s="131">
        <f>1*G29</f>
        <v>0</v>
      </c>
      <c r="H35" s="78" t="s">
        <v>3</v>
      </c>
      <c r="I35" s="121"/>
      <c r="J35" s="89"/>
      <c r="K35" s="71"/>
      <c r="L35" s="80">
        <v>16.5</v>
      </c>
      <c r="M35" s="93"/>
      <c r="N35" s="128">
        <f t="shared" si="1"/>
        <v>16.5</v>
      </c>
      <c r="O35" s="128">
        <f t="shared" si="4"/>
        <v>16.5</v>
      </c>
      <c r="P35" s="129">
        <f t="shared" si="6"/>
        <v>0</v>
      </c>
    </row>
    <row r="36" spans="2:16" outlineLevel="1" x14ac:dyDescent="0.2">
      <c r="B36" s="120"/>
      <c r="C36" s="68"/>
      <c r="D36" s="68"/>
      <c r="E36" s="77"/>
      <c r="F36" s="68" t="s">
        <v>513</v>
      </c>
      <c r="G36" s="131">
        <f>G29*0.132</f>
        <v>0</v>
      </c>
      <c r="H36" s="78" t="s">
        <v>4</v>
      </c>
      <c r="I36" s="121"/>
      <c r="J36" s="89"/>
      <c r="K36" s="71"/>
      <c r="L36" s="80">
        <v>450</v>
      </c>
      <c r="M36" s="93"/>
      <c r="N36" s="128">
        <f t="shared" si="1"/>
        <v>450</v>
      </c>
      <c r="O36" s="128">
        <f t="shared" si="4"/>
        <v>450</v>
      </c>
      <c r="P36" s="129">
        <f t="shared" si="6"/>
        <v>0</v>
      </c>
    </row>
    <row r="37" spans="2:16" outlineLevel="1" x14ac:dyDescent="0.2">
      <c r="B37" s="120"/>
      <c r="C37" s="68"/>
      <c r="D37" s="68"/>
      <c r="E37" s="77"/>
      <c r="F37" s="68" t="s">
        <v>295</v>
      </c>
      <c r="G37" s="122">
        <f>G34/1000+G35*0.02*1.75</f>
        <v>0</v>
      </c>
      <c r="H37" s="78" t="s">
        <v>8</v>
      </c>
      <c r="I37" s="121"/>
      <c r="J37" s="89"/>
      <c r="K37" s="71"/>
      <c r="L37" s="80">
        <v>25</v>
      </c>
      <c r="M37" s="93"/>
      <c r="N37" s="128">
        <f t="shared" si="1"/>
        <v>25</v>
      </c>
      <c r="O37" s="128">
        <f t="shared" si="4"/>
        <v>25</v>
      </c>
      <c r="P37" s="129">
        <f t="shared" si="6"/>
        <v>0</v>
      </c>
    </row>
    <row r="38" spans="2:16" outlineLevel="1" x14ac:dyDescent="0.2">
      <c r="B38" s="120"/>
      <c r="C38" s="68"/>
      <c r="D38" s="68"/>
      <c r="E38" s="77" t="s">
        <v>526</v>
      </c>
      <c r="F38" s="68"/>
      <c r="G38" s="122"/>
      <c r="H38" s="78"/>
      <c r="I38" s="89" t="s">
        <v>591</v>
      </c>
      <c r="J38" s="89"/>
      <c r="K38" s="71"/>
      <c r="L38" s="80"/>
      <c r="M38" s="93"/>
      <c r="N38" s="128">
        <f t="shared" si="1"/>
        <v>0</v>
      </c>
      <c r="O38" s="128"/>
      <c r="P38" s="129"/>
    </row>
    <row r="39" spans="2:16" outlineLevel="1" x14ac:dyDescent="0.2">
      <c r="B39" s="120"/>
      <c r="C39" s="68"/>
      <c r="D39" s="68"/>
      <c r="E39" s="77"/>
      <c r="F39" s="68" t="s">
        <v>527</v>
      </c>
      <c r="G39" s="212">
        <v>0</v>
      </c>
      <c r="H39" s="78" t="s">
        <v>4</v>
      </c>
      <c r="I39" s="121"/>
      <c r="J39" s="89"/>
      <c r="K39" s="71"/>
      <c r="L39" s="80">
        <v>180</v>
      </c>
      <c r="M39" s="93"/>
      <c r="N39" s="128">
        <f t="shared" si="1"/>
        <v>180</v>
      </c>
      <c r="O39" s="128">
        <f t="shared" ref="O39:O45" si="7">N39</f>
        <v>180</v>
      </c>
      <c r="P39" s="129">
        <f t="shared" ref="P39:P45" si="8">G39*O39</f>
        <v>0</v>
      </c>
    </row>
    <row r="40" spans="2:16" outlineLevel="1" x14ac:dyDescent="0.2">
      <c r="B40" s="120"/>
      <c r="C40" s="68"/>
      <c r="D40" s="68"/>
      <c r="E40" s="77"/>
      <c r="F40" s="68" t="s">
        <v>93</v>
      </c>
      <c r="G40" s="212">
        <v>0</v>
      </c>
      <c r="H40" s="78" t="s">
        <v>3</v>
      </c>
      <c r="I40" s="121"/>
      <c r="J40" s="89"/>
      <c r="K40" s="71" t="s">
        <v>94</v>
      </c>
      <c r="L40" s="80">
        <v>18.5</v>
      </c>
      <c r="M40" s="93"/>
      <c r="N40" s="128">
        <f t="shared" si="1"/>
        <v>18.5</v>
      </c>
      <c r="O40" s="128">
        <f t="shared" si="7"/>
        <v>18.5</v>
      </c>
      <c r="P40" s="129">
        <f t="shared" si="8"/>
        <v>0</v>
      </c>
    </row>
    <row r="41" spans="2:16" outlineLevel="1" x14ac:dyDescent="0.2">
      <c r="B41" s="120"/>
      <c r="C41" s="68"/>
      <c r="D41" s="68"/>
      <c r="E41" s="77"/>
      <c r="F41" s="68" t="s">
        <v>95</v>
      </c>
      <c r="G41" s="212">
        <v>0</v>
      </c>
      <c r="H41" s="78" t="s">
        <v>75</v>
      </c>
      <c r="I41" s="121"/>
      <c r="J41" s="89"/>
      <c r="K41" s="71"/>
      <c r="L41" s="80">
        <v>10.5</v>
      </c>
      <c r="M41" s="93"/>
      <c r="N41" s="128">
        <f t="shared" si="1"/>
        <v>10.5</v>
      </c>
      <c r="O41" s="128">
        <f t="shared" si="7"/>
        <v>10.5</v>
      </c>
      <c r="P41" s="129">
        <f t="shared" si="8"/>
        <v>0</v>
      </c>
    </row>
    <row r="42" spans="2:16" outlineLevel="1" x14ac:dyDescent="0.2">
      <c r="B42" s="120"/>
      <c r="C42" s="68"/>
      <c r="D42" s="68"/>
      <c r="E42" s="77"/>
      <c r="F42" s="68" t="s">
        <v>96</v>
      </c>
      <c r="G42" s="212">
        <v>0</v>
      </c>
      <c r="H42" s="78" t="s">
        <v>1</v>
      </c>
      <c r="I42" s="121"/>
      <c r="J42" s="89"/>
      <c r="K42" s="71"/>
      <c r="L42" s="80">
        <v>30</v>
      </c>
      <c r="M42" s="93"/>
      <c r="N42" s="128">
        <f t="shared" si="1"/>
        <v>30</v>
      </c>
      <c r="O42" s="128">
        <f t="shared" si="7"/>
        <v>30</v>
      </c>
      <c r="P42" s="129">
        <f t="shared" si="8"/>
        <v>0</v>
      </c>
    </row>
    <row r="43" spans="2:16" outlineLevel="1" x14ac:dyDescent="0.2">
      <c r="B43" s="120"/>
      <c r="C43" s="68"/>
      <c r="D43" s="68"/>
      <c r="E43" s="77"/>
      <c r="F43" s="68" t="s">
        <v>98</v>
      </c>
      <c r="G43" s="92">
        <f>G45*125</f>
        <v>0</v>
      </c>
      <c r="H43" s="78" t="s">
        <v>9</v>
      </c>
      <c r="I43" s="121"/>
      <c r="J43" s="89"/>
      <c r="K43" s="71"/>
      <c r="L43" s="80">
        <v>5</v>
      </c>
      <c r="M43" s="93"/>
      <c r="N43" s="128">
        <f t="shared" si="1"/>
        <v>5</v>
      </c>
      <c r="O43" s="128">
        <f t="shared" si="7"/>
        <v>5</v>
      </c>
      <c r="P43" s="129">
        <f t="shared" si="8"/>
        <v>0</v>
      </c>
    </row>
    <row r="44" spans="2:16" outlineLevel="1" x14ac:dyDescent="0.2">
      <c r="B44" s="120"/>
      <c r="C44" s="68"/>
      <c r="D44" s="68"/>
      <c r="E44" s="77"/>
      <c r="F44" s="68" t="s">
        <v>443</v>
      </c>
      <c r="G44" s="212">
        <v>0</v>
      </c>
      <c r="H44" s="78" t="s">
        <v>3</v>
      </c>
      <c r="I44" s="121"/>
      <c r="J44" s="89"/>
      <c r="K44" s="71"/>
      <c r="L44" s="80">
        <v>16.5</v>
      </c>
      <c r="M44" s="93"/>
      <c r="N44" s="128">
        <f t="shared" si="1"/>
        <v>16.5</v>
      </c>
      <c r="O44" s="128">
        <f t="shared" si="7"/>
        <v>16.5</v>
      </c>
      <c r="P44" s="129">
        <f t="shared" si="8"/>
        <v>0</v>
      </c>
    </row>
    <row r="45" spans="2:16" outlineLevel="1" x14ac:dyDescent="0.2">
      <c r="B45" s="120"/>
      <c r="C45" s="68"/>
      <c r="D45" s="68"/>
      <c r="E45" s="77"/>
      <c r="F45" s="68" t="s">
        <v>508</v>
      </c>
      <c r="G45" s="92">
        <f>G39</f>
        <v>0</v>
      </c>
      <c r="H45" s="123" t="s">
        <v>4</v>
      </c>
      <c r="I45" s="121"/>
      <c r="J45" s="89"/>
      <c r="K45" s="71"/>
      <c r="L45" s="80">
        <v>410</v>
      </c>
      <c r="M45" s="93"/>
      <c r="N45" s="128">
        <f t="shared" si="1"/>
        <v>410</v>
      </c>
      <c r="O45" s="128">
        <f t="shared" si="7"/>
        <v>410</v>
      </c>
      <c r="P45" s="129">
        <f t="shared" si="8"/>
        <v>0</v>
      </c>
    </row>
    <row r="46" spans="2:16" outlineLevel="1" x14ac:dyDescent="0.2">
      <c r="B46" s="120"/>
      <c r="C46" s="68"/>
      <c r="D46" s="68"/>
      <c r="E46" s="77" t="s">
        <v>524</v>
      </c>
      <c r="F46" s="68"/>
      <c r="G46" s="122"/>
      <c r="H46" s="78"/>
      <c r="I46" s="121"/>
      <c r="J46" s="89"/>
      <c r="K46" s="71"/>
      <c r="L46" s="80"/>
      <c r="M46" s="93"/>
      <c r="N46" s="128"/>
      <c r="O46" s="128"/>
      <c r="P46" s="129"/>
    </row>
    <row r="47" spans="2:16" outlineLevel="1" x14ac:dyDescent="0.2">
      <c r="B47" s="120"/>
      <c r="C47" s="68"/>
      <c r="D47" s="68"/>
      <c r="E47" s="77"/>
      <c r="F47" s="68" t="s">
        <v>450</v>
      </c>
      <c r="G47" s="131">
        <v>0</v>
      </c>
      <c r="H47" s="78" t="s">
        <v>3</v>
      </c>
      <c r="I47" s="79"/>
      <c r="J47" s="79"/>
      <c r="K47" s="71" t="s">
        <v>92</v>
      </c>
      <c r="L47" s="80">
        <v>12.5</v>
      </c>
      <c r="M47" s="93"/>
      <c r="N47" s="128">
        <f t="shared" ref="N47" si="9">L47*M$10</f>
        <v>12.5</v>
      </c>
      <c r="O47" s="128">
        <f>N47</f>
        <v>12.5</v>
      </c>
      <c r="P47" s="129">
        <f t="shared" ref="P47" si="10">G47*O47</f>
        <v>0</v>
      </c>
    </row>
    <row r="48" spans="2:16" outlineLevel="1" x14ac:dyDescent="0.2">
      <c r="B48" s="120"/>
      <c r="C48" s="68"/>
      <c r="D48" s="68"/>
      <c r="E48" s="77"/>
      <c r="F48" s="68" t="s">
        <v>525</v>
      </c>
      <c r="G48" s="122">
        <f>G47</f>
        <v>0</v>
      </c>
      <c r="H48" s="78" t="s">
        <v>3</v>
      </c>
      <c r="I48" s="121"/>
      <c r="J48" s="89"/>
      <c r="K48" s="71"/>
      <c r="L48" s="80">
        <v>40</v>
      </c>
      <c r="M48" s="93"/>
      <c r="N48" s="128">
        <f t="shared" si="1"/>
        <v>40</v>
      </c>
      <c r="O48" s="128">
        <f t="shared" ref="O48" si="11">N48</f>
        <v>40</v>
      </c>
      <c r="P48" s="129">
        <f>G48*O48</f>
        <v>0</v>
      </c>
    </row>
    <row r="49" spans="2:16" outlineLevel="1" x14ac:dyDescent="0.2">
      <c r="B49" s="120"/>
      <c r="C49" s="68"/>
      <c r="D49" s="68"/>
      <c r="E49" s="77" t="s">
        <v>119</v>
      </c>
      <c r="F49" s="68"/>
      <c r="G49" s="122"/>
      <c r="H49" s="123"/>
      <c r="I49" s="89"/>
      <c r="J49" s="89"/>
      <c r="K49" s="71"/>
      <c r="L49" s="80"/>
      <c r="M49" s="93"/>
      <c r="N49" s="128"/>
      <c r="O49" s="121"/>
      <c r="P49" s="124"/>
    </row>
    <row r="50" spans="2:16" outlineLevel="1" x14ac:dyDescent="0.2">
      <c r="B50" s="120"/>
      <c r="C50" s="68"/>
      <c r="D50" s="68"/>
      <c r="E50" s="77"/>
      <c r="F50" s="68" t="s">
        <v>459</v>
      </c>
      <c r="G50" s="212">
        <v>0</v>
      </c>
      <c r="H50" s="78" t="s">
        <v>3</v>
      </c>
      <c r="I50" s="121"/>
      <c r="J50" s="89"/>
      <c r="K50" s="71"/>
      <c r="L50" s="80">
        <v>25</v>
      </c>
      <c r="M50" s="93"/>
      <c r="N50" s="128">
        <f>L50*M$10</f>
        <v>25</v>
      </c>
      <c r="O50" s="128">
        <f t="shared" ref="O50:O53" si="12">N50</f>
        <v>25</v>
      </c>
      <c r="P50" s="129">
        <f>G50*O50</f>
        <v>0</v>
      </c>
    </row>
    <row r="51" spans="2:16" outlineLevel="1" x14ac:dyDescent="0.2">
      <c r="B51" s="120"/>
      <c r="C51" s="68"/>
      <c r="D51" s="68"/>
      <c r="E51" s="77"/>
      <c r="F51" s="68" t="s">
        <v>497</v>
      </c>
      <c r="G51" s="92">
        <f>G50</f>
        <v>0</v>
      </c>
      <c r="H51" s="78" t="s">
        <v>3</v>
      </c>
      <c r="I51" s="121"/>
      <c r="J51" s="89"/>
      <c r="K51" s="71" t="s">
        <v>120</v>
      </c>
      <c r="L51" s="80">
        <v>58.5</v>
      </c>
      <c r="M51" s="93"/>
      <c r="N51" s="128">
        <f t="shared" ref="N51:N52" si="13">L51*M$10</f>
        <v>58.5</v>
      </c>
      <c r="O51" s="128">
        <f t="shared" si="12"/>
        <v>58.5</v>
      </c>
      <c r="P51" s="129">
        <f>G51*O51</f>
        <v>0</v>
      </c>
    </row>
    <row r="52" spans="2:16" outlineLevel="1" x14ac:dyDescent="0.2">
      <c r="B52" s="120"/>
      <c r="C52" s="68"/>
      <c r="D52" s="68"/>
      <c r="E52" s="77"/>
      <c r="F52" s="68" t="s">
        <v>121</v>
      </c>
      <c r="G52" s="212">
        <v>0</v>
      </c>
      <c r="H52" s="78" t="s">
        <v>75</v>
      </c>
      <c r="I52" s="121"/>
      <c r="J52" s="89"/>
      <c r="K52" s="71"/>
      <c r="L52" s="80">
        <v>12.5</v>
      </c>
      <c r="M52" s="93"/>
      <c r="N52" s="128">
        <f t="shared" si="13"/>
        <v>12.5</v>
      </c>
      <c r="O52" s="128">
        <f t="shared" si="12"/>
        <v>12.5</v>
      </c>
      <c r="P52" s="129">
        <f>G52*O52</f>
        <v>0</v>
      </c>
    </row>
    <row r="53" spans="2:16" outlineLevel="1" x14ac:dyDescent="0.2">
      <c r="B53" s="120"/>
      <c r="C53" s="68"/>
      <c r="D53" s="68"/>
      <c r="E53" s="77"/>
      <c r="F53" s="68" t="s">
        <v>295</v>
      </c>
      <c r="G53" s="92">
        <f>G51*0.1*2+G51*0.1*1.6</f>
        <v>0</v>
      </c>
      <c r="H53" s="78" t="s">
        <v>8</v>
      </c>
      <c r="I53" s="121"/>
      <c r="J53" s="89"/>
      <c r="K53" s="71"/>
      <c r="L53" s="80">
        <v>25</v>
      </c>
      <c r="M53" s="93"/>
      <c r="N53" s="128">
        <f>L53*M$10</f>
        <v>25</v>
      </c>
      <c r="O53" s="128">
        <f t="shared" si="12"/>
        <v>25</v>
      </c>
      <c r="P53" s="129">
        <f>G53*O53</f>
        <v>0</v>
      </c>
    </row>
    <row r="54" spans="2:16" outlineLevel="1" x14ac:dyDescent="0.2">
      <c r="B54" s="120"/>
      <c r="C54" s="68"/>
      <c r="D54" s="68"/>
      <c r="E54" s="77" t="s">
        <v>579</v>
      </c>
      <c r="F54" s="68"/>
      <c r="G54" s="92"/>
      <c r="H54" s="78"/>
      <c r="I54" s="121"/>
      <c r="J54" s="89"/>
      <c r="K54" s="71"/>
      <c r="L54" s="80"/>
      <c r="M54" s="93"/>
      <c r="N54" s="128"/>
      <c r="O54" s="128"/>
      <c r="P54" s="129"/>
    </row>
    <row r="55" spans="2:16" outlineLevel="1" x14ac:dyDescent="0.2">
      <c r="B55" s="120"/>
      <c r="C55" s="68"/>
      <c r="D55" s="68"/>
      <c r="E55" s="77"/>
      <c r="F55" s="68" t="s">
        <v>580</v>
      </c>
      <c r="G55" s="212">
        <v>0</v>
      </c>
      <c r="H55" s="78" t="s">
        <v>3</v>
      </c>
      <c r="I55" s="93">
        <v>0.5</v>
      </c>
      <c r="J55" s="89"/>
      <c r="K55" s="71" t="s">
        <v>578</v>
      </c>
      <c r="L55" s="80">
        <v>18.5</v>
      </c>
      <c r="M55" s="93"/>
      <c r="N55" s="128">
        <f t="shared" ref="N55:N57" si="14">L55*M$10</f>
        <v>18.5</v>
      </c>
      <c r="O55" s="128">
        <f t="shared" ref="O55:O58" si="15">N55</f>
        <v>18.5</v>
      </c>
      <c r="P55" s="129">
        <f t="shared" ref="P55:P57" si="16">G55*O55</f>
        <v>0</v>
      </c>
    </row>
    <row r="56" spans="2:16" outlineLevel="1" x14ac:dyDescent="0.2">
      <c r="B56" s="120"/>
      <c r="C56" s="68"/>
      <c r="D56" s="68"/>
      <c r="E56" s="77"/>
      <c r="F56" s="68" t="s">
        <v>577</v>
      </c>
      <c r="G56" s="212">
        <v>0</v>
      </c>
      <c r="H56" s="78" t="s">
        <v>3</v>
      </c>
      <c r="I56" s="93">
        <v>0.5</v>
      </c>
      <c r="J56" s="89"/>
      <c r="K56" s="71" t="s">
        <v>576</v>
      </c>
      <c r="L56" s="80">
        <v>7</v>
      </c>
      <c r="M56" s="93"/>
      <c r="N56" s="128">
        <f t="shared" si="14"/>
        <v>7</v>
      </c>
      <c r="O56" s="128">
        <f t="shared" si="15"/>
        <v>7</v>
      </c>
      <c r="P56" s="129">
        <f t="shared" si="16"/>
        <v>0</v>
      </c>
    </row>
    <row r="57" spans="2:16" outlineLevel="1" x14ac:dyDescent="0.2">
      <c r="B57" s="120"/>
      <c r="C57" s="68"/>
      <c r="D57" s="68"/>
      <c r="E57" s="77"/>
      <c r="F57" s="68" t="s">
        <v>511</v>
      </c>
      <c r="G57" s="212">
        <v>0</v>
      </c>
      <c r="H57" s="78" t="s">
        <v>3</v>
      </c>
      <c r="I57" s="93">
        <v>0.5</v>
      </c>
      <c r="J57" s="89"/>
      <c r="K57" s="71" t="s">
        <v>586</v>
      </c>
      <c r="L57" s="80">
        <v>173.5</v>
      </c>
      <c r="M57" s="93"/>
      <c r="N57" s="128">
        <f t="shared" si="14"/>
        <v>173.5</v>
      </c>
      <c r="O57" s="128">
        <f t="shared" si="15"/>
        <v>173.5</v>
      </c>
      <c r="P57" s="129">
        <f t="shared" si="16"/>
        <v>0</v>
      </c>
    </row>
    <row r="58" spans="2:16" outlineLevel="1" x14ac:dyDescent="0.2">
      <c r="B58" s="120"/>
      <c r="C58" s="68"/>
      <c r="D58" s="68"/>
      <c r="E58" s="77"/>
      <c r="F58" s="68" t="s">
        <v>295</v>
      </c>
      <c r="G58" s="92">
        <f>G56*0.02*1.5+G55*0.1*1.5</f>
        <v>0</v>
      </c>
      <c r="H58" s="78" t="s">
        <v>8</v>
      </c>
      <c r="I58" s="89"/>
      <c r="J58" s="89"/>
      <c r="K58" s="71"/>
      <c r="L58" s="80">
        <v>25</v>
      </c>
      <c r="M58" s="93"/>
      <c r="N58" s="128">
        <f>L58*M$10</f>
        <v>25</v>
      </c>
      <c r="O58" s="128">
        <f t="shared" si="15"/>
        <v>25</v>
      </c>
      <c r="P58" s="129">
        <f>G58*O58</f>
        <v>0</v>
      </c>
    </row>
    <row r="59" spans="2:16" outlineLevel="1" x14ac:dyDescent="0.2">
      <c r="B59" s="120"/>
      <c r="C59" s="68"/>
      <c r="D59" s="68"/>
      <c r="E59" s="77" t="s">
        <v>112</v>
      </c>
      <c r="F59" s="86"/>
      <c r="G59" s="87"/>
      <c r="H59" s="88"/>
      <c r="I59" s="105"/>
      <c r="J59" s="105"/>
      <c r="K59" s="77"/>
      <c r="L59" s="75"/>
      <c r="M59" s="93"/>
      <c r="N59" s="121"/>
      <c r="O59" s="121"/>
      <c r="P59" s="124"/>
    </row>
    <row r="60" spans="2:16" outlineLevel="1" x14ac:dyDescent="0.2">
      <c r="B60" s="120"/>
      <c r="C60" s="68"/>
      <c r="D60" s="68"/>
      <c r="E60" s="69"/>
      <c r="F60" s="68" t="s">
        <v>113</v>
      </c>
      <c r="G60" s="131">
        <v>0</v>
      </c>
      <c r="H60" s="78" t="s">
        <v>3</v>
      </c>
      <c r="I60" s="121"/>
      <c r="J60" s="89"/>
      <c r="K60" s="71"/>
      <c r="L60" s="80">
        <v>42.5</v>
      </c>
      <c r="M60" s="93"/>
      <c r="N60" s="128">
        <f>L60*M$10</f>
        <v>42.5</v>
      </c>
      <c r="O60" s="128">
        <f t="shared" ref="O60:O70" si="17">N60</f>
        <v>42.5</v>
      </c>
      <c r="P60" s="129">
        <f t="shared" ref="P60:P70" si="18">G60*O60</f>
        <v>0</v>
      </c>
    </row>
    <row r="61" spans="2:16" outlineLevel="1" x14ac:dyDescent="0.2">
      <c r="B61" s="120"/>
      <c r="C61" s="68"/>
      <c r="D61" s="68"/>
      <c r="E61" s="69"/>
      <c r="F61" s="68" t="s">
        <v>114</v>
      </c>
      <c r="G61" s="122">
        <f>G60*0.1</f>
        <v>0</v>
      </c>
      <c r="H61" s="78" t="s">
        <v>4</v>
      </c>
      <c r="I61" s="89"/>
      <c r="J61" s="89"/>
      <c r="K61" s="71"/>
      <c r="L61" s="80">
        <f>18.6*10</f>
        <v>186</v>
      </c>
      <c r="M61" s="93"/>
      <c r="N61" s="128">
        <f t="shared" ref="N61:N70" si="19">L61*M$10</f>
        <v>186</v>
      </c>
      <c r="O61" s="128">
        <f t="shared" si="17"/>
        <v>186</v>
      </c>
      <c r="P61" s="129">
        <f t="shared" si="18"/>
        <v>0</v>
      </c>
    </row>
    <row r="62" spans="2:16" outlineLevel="1" x14ac:dyDescent="0.2">
      <c r="B62" s="120"/>
      <c r="C62" s="68"/>
      <c r="D62" s="68"/>
      <c r="E62" s="69"/>
      <c r="F62" s="68" t="s">
        <v>450</v>
      </c>
      <c r="G62" s="131">
        <v>0</v>
      </c>
      <c r="H62" s="78" t="s">
        <v>3</v>
      </c>
      <c r="I62" s="79">
        <v>0.1</v>
      </c>
      <c r="J62" s="79" t="s">
        <v>456</v>
      </c>
      <c r="K62" s="71" t="s">
        <v>92</v>
      </c>
      <c r="L62" s="80">
        <v>12.5</v>
      </c>
      <c r="M62" s="93"/>
      <c r="N62" s="128">
        <f t="shared" si="19"/>
        <v>12.5</v>
      </c>
      <c r="O62" s="128">
        <f t="shared" si="17"/>
        <v>12.5</v>
      </c>
      <c r="P62" s="129">
        <f t="shared" si="18"/>
        <v>0</v>
      </c>
    </row>
    <row r="63" spans="2:16" outlineLevel="1" x14ac:dyDescent="0.2">
      <c r="B63" s="120"/>
      <c r="C63" s="68"/>
      <c r="D63" s="68"/>
      <c r="E63" s="69"/>
      <c r="F63" s="68" t="s">
        <v>478</v>
      </c>
      <c r="G63" s="122">
        <f>G62</f>
        <v>0</v>
      </c>
      <c r="H63" s="78" t="s">
        <v>3</v>
      </c>
      <c r="I63" s="89"/>
      <c r="J63" s="89"/>
      <c r="K63" s="71" t="s">
        <v>125</v>
      </c>
      <c r="L63" s="80">
        <v>21.9</v>
      </c>
      <c r="M63" s="93"/>
      <c r="N63" s="128">
        <f t="shared" si="19"/>
        <v>21.9</v>
      </c>
      <c r="O63" s="128">
        <f t="shared" si="17"/>
        <v>21.9</v>
      </c>
      <c r="P63" s="129">
        <f t="shared" si="18"/>
        <v>0</v>
      </c>
    </row>
    <row r="64" spans="2:16" outlineLevel="1" x14ac:dyDescent="0.2">
      <c r="B64" s="120"/>
      <c r="C64" s="68"/>
      <c r="D64" s="68"/>
      <c r="E64" s="69"/>
      <c r="F64" s="68" t="s">
        <v>115</v>
      </c>
      <c r="G64" s="122">
        <f>G61</f>
        <v>0</v>
      </c>
      <c r="H64" s="78" t="s">
        <v>4</v>
      </c>
      <c r="I64" s="121"/>
      <c r="J64" s="89"/>
      <c r="K64" s="71"/>
      <c r="L64" s="80">
        <v>69.5</v>
      </c>
      <c r="M64" s="93"/>
      <c r="N64" s="128">
        <f t="shared" si="19"/>
        <v>69.5</v>
      </c>
      <c r="O64" s="128">
        <f t="shared" si="17"/>
        <v>69.5</v>
      </c>
      <c r="P64" s="129">
        <f t="shared" si="18"/>
        <v>0</v>
      </c>
    </row>
    <row r="65" spans="2:16" outlineLevel="1" x14ac:dyDescent="0.2">
      <c r="B65" s="120"/>
      <c r="C65" s="68"/>
      <c r="D65" s="68"/>
      <c r="E65" s="69"/>
      <c r="F65" s="68" t="s">
        <v>495</v>
      </c>
      <c r="G65" s="131">
        <v>0</v>
      </c>
      <c r="H65" s="78" t="s">
        <v>3</v>
      </c>
      <c r="I65" s="121"/>
      <c r="J65" s="89"/>
      <c r="K65" s="71" t="s">
        <v>116</v>
      </c>
      <c r="L65" s="80">
        <v>25</v>
      </c>
      <c r="M65" s="93"/>
      <c r="N65" s="128">
        <f t="shared" si="19"/>
        <v>25</v>
      </c>
      <c r="O65" s="128">
        <f t="shared" si="17"/>
        <v>25</v>
      </c>
      <c r="P65" s="129">
        <f t="shared" si="18"/>
        <v>0</v>
      </c>
    </row>
    <row r="66" spans="2:16" outlineLevel="1" x14ac:dyDescent="0.2">
      <c r="B66" s="120"/>
      <c r="C66" s="68"/>
      <c r="D66" s="68"/>
      <c r="E66" s="69"/>
      <c r="F66" s="68" t="s">
        <v>5</v>
      </c>
      <c r="G66" s="122">
        <f>G65</f>
        <v>0</v>
      </c>
      <c r="H66" s="78" t="s">
        <v>3</v>
      </c>
      <c r="I66" s="121"/>
      <c r="J66" s="89"/>
      <c r="K66" s="71"/>
      <c r="L66" s="80">
        <v>17.600000000000001</v>
      </c>
      <c r="M66" s="93"/>
      <c r="N66" s="128">
        <f t="shared" si="19"/>
        <v>17.600000000000001</v>
      </c>
      <c r="O66" s="128">
        <f t="shared" si="17"/>
        <v>17.600000000000001</v>
      </c>
      <c r="P66" s="129">
        <f t="shared" si="18"/>
        <v>0</v>
      </c>
    </row>
    <row r="67" spans="2:16" outlineLevel="1" x14ac:dyDescent="0.2">
      <c r="B67" s="120"/>
      <c r="C67" s="68"/>
      <c r="D67" s="68"/>
      <c r="E67" s="69"/>
      <c r="F67" s="68" t="s">
        <v>6</v>
      </c>
      <c r="G67" s="122">
        <f>G65</f>
        <v>0</v>
      </c>
      <c r="H67" s="78" t="s">
        <v>3</v>
      </c>
      <c r="I67" s="121"/>
      <c r="J67" s="89"/>
      <c r="K67" s="71"/>
      <c r="L67" s="80">
        <v>15.4</v>
      </c>
      <c r="M67" s="93"/>
      <c r="N67" s="128">
        <f t="shared" si="19"/>
        <v>15.4</v>
      </c>
      <c r="O67" s="128">
        <f t="shared" si="17"/>
        <v>15.4</v>
      </c>
      <c r="P67" s="129">
        <f t="shared" si="18"/>
        <v>0</v>
      </c>
    </row>
    <row r="68" spans="2:16" outlineLevel="1" x14ac:dyDescent="0.2">
      <c r="B68" s="120"/>
      <c r="C68" s="68"/>
      <c r="D68" s="68"/>
      <c r="E68" s="69"/>
      <c r="F68" s="68" t="s">
        <v>117</v>
      </c>
      <c r="G68" s="122">
        <f>G65</f>
        <v>0</v>
      </c>
      <c r="H68" s="78" t="s">
        <v>3</v>
      </c>
      <c r="I68" s="121"/>
      <c r="J68" s="89"/>
      <c r="K68" s="71"/>
      <c r="L68" s="80">
        <v>24.35</v>
      </c>
      <c r="M68" s="93"/>
      <c r="N68" s="128">
        <f t="shared" si="19"/>
        <v>24.35</v>
      </c>
      <c r="O68" s="128">
        <f t="shared" si="17"/>
        <v>24.35</v>
      </c>
      <c r="P68" s="129">
        <f t="shared" si="18"/>
        <v>0</v>
      </c>
    </row>
    <row r="69" spans="2:16" outlineLevel="1" x14ac:dyDescent="0.2">
      <c r="B69" s="120"/>
      <c r="C69" s="68"/>
      <c r="D69" s="68"/>
      <c r="E69" s="69"/>
      <c r="F69" s="68" t="s">
        <v>118</v>
      </c>
      <c r="G69" s="131">
        <v>0</v>
      </c>
      <c r="H69" s="78" t="s">
        <v>3</v>
      </c>
      <c r="I69" s="121"/>
      <c r="J69" s="89"/>
      <c r="K69" s="71"/>
      <c r="L69" s="80">
        <v>25</v>
      </c>
      <c r="M69" s="93"/>
      <c r="N69" s="128">
        <f t="shared" si="19"/>
        <v>25</v>
      </c>
      <c r="O69" s="128">
        <f t="shared" si="17"/>
        <v>25</v>
      </c>
      <c r="P69" s="129">
        <f t="shared" si="18"/>
        <v>0</v>
      </c>
    </row>
    <row r="70" spans="2:16" outlineLevel="1" x14ac:dyDescent="0.2">
      <c r="B70" s="120"/>
      <c r="C70" s="68"/>
      <c r="D70" s="68"/>
      <c r="E70" s="69"/>
      <c r="F70" s="68" t="s">
        <v>295</v>
      </c>
      <c r="G70" s="122">
        <f>G60*5/1000+G61*2+G64*2+G68*5/1000</f>
        <v>0</v>
      </c>
      <c r="H70" s="78" t="s">
        <v>8</v>
      </c>
      <c r="I70" s="121"/>
      <c r="J70" s="89"/>
      <c r="K70" s="71"/>
      <c r="L70" s="80">
        <v>25</v>
      </c>
      <c r="M70" s="93"/>
      <c r="N70" s="128">
        <f t="shared" si="19"/>
        <v>25</v>
      </c>
      <c r="O70" s="128">
        <f t="shared" si="17"/>
        <v>25</v>
      </c>
      <c r="P70" s="129">
        <f t="shared" si="18"/>
        <v>0</v>
      </c>
    </row>
    <row r="71" spans="2:16" outlineLevel="1" x14ac:dyDescent="0.2">
      <c r="B71" s="120"/>
      <c r="C71" s="68"/>
      <c r="D71" s="68"/>
      <c r="E71" s="77" t="s">
        <v>504</v>
      </c>
      <c r="F71" s="68"/>
      <c r="G71" s="122"/>
      <c r="H71" s="78"/>
      <c r="I71" s="121"/>
      <c r="J71" s="89"/>
      <c r="K71" s="71"/>
      <c r="L71" s="80"/>
      <c r="M71" s="93"/>
      <c r="N71" s="128"/>
      <c r="O71" s="128"/>
      <c r="P71" s="129"/>
    </row>
    <row r="72" spans="2:16" outlineLevel="1" x14ac:dyDescent="0.2">
      <c r="B72" s="120"/>
      <c r="C72" s="68"/>
      <c r="D72" s="68"/>
      <c r="E72" s="77"/>
      <c r="F72" s="68" t="s">
        <v>512</v>
      </c>
      <c r="G72" s="131">
        <v>0</v>
      </c>
      <c r="H72" s="123" t="s">
        <v>4</v>
      </c>
      <c r="I72" s="121"/>
      <c r="J72" s="89"/>
      <c r="K72" s="71"/>
      <c r="L72" s="80">
        <v>25</v>
      </c>
      <c r="M72" s="93"/>
      <c r="N72" s="128">
        <f t="shared" si="1"/>
        <v>25</v>
      </c>
      <c r="O72" s="128">
        <f t="shared" ref="O72:O85" si="20">N72</f>
        <v>25</v>
      </c>
      <c r="P72" s="129">
        <f t="shared" ref="P72:P85" si="21">G72*O72</f>
        <v>0</v>
      </c>
    </row>
    <row r="73" spans="2:16" outlineLevel="1" x14ac:dyDescent="0.2">
      <c r="B73" s="120"/>
      <c r="C73" s="68"/>
      <c r="D73" s="68"/>
      <c r="E73" s="69"/>
      <c r="F73" s="68" t="s">
        <v>486</v>
      </c>
      <c r="G73" s="131">
        <v>0</v>
      </c>
      <c r="H73" s="123" t="s">
        <v>4</v>
      </c>
      <c r="I73" s="121"/>
      <c r="J73" s="89"/>
      <c r="K73" s="71" t="s">
        <v>485</v>
      </c>
      <c r="L73" s="127">
        <v>31.9</v>
      </c>
      <c r="M73" s="93"/>
      <c r="N73" s="128">
        <f t="shared" si="1"/>
        <v>31.9</v>
      </c>
      <c r="O73" s="128">
        <f t="shared" si="20"/>
        <v>31.9</v>
      </c>
      <c r="P73" s="129">
        <f t="shared" si="21"/>
        <v>0</v>
      </c>
    </row>
    <row r="74" spans="2:16" outlineLevel="1" x14ac:dyDescent="0.2">
      <c r="B74" s="120"/>
      <c r="C74" s="68"/>
      <c r="D74" s="68"/>
      <c r="E74" s="69"/>
      <c r="F74" s="68" t="s">
        <v>505</v>
      </c>
      <c r="G74" s="131">
        <v>0</v>
      </c>
      <c r="H74" s="123" t="s">
        <v>4</v>
      </c>
      <c r="I74" s="121"/>
      <c r="J74" s="89"/>
      <c r="K74" s="71"/>
      <c r="L74" s="80">
        <v>35</v>
      </c>
      <c r="M74" s="93"/>
      <c r="N74" s="128">
        <f t="shared" si="1"/>
        <v>35</v>
      </c>
      <c r="O74" s="128">
        <f t="shared" si="20"/>
        <v>35</v>
      </c>
      <c r="P74" s="129">
        <f t="shared" si="21"/>
        <v>0</v>
      </c>
    </row>
    <row r="75" spans="2:16" outlineLevel="1" x14ac:dyDescent="0.2">
      <c r="B75" s="120"/>
      <c r="C75" s="68"/>
      <c r="D75" s="68"/>
      <c r="E75" s="69"/>
      <c r="F75" s="68" t="s">
        <v>506</v>
      </c>
      <c r="G75" s="131">
        <v>0</v>
      </c>
      <c r="H75" s="123" t="s">
        <v>4</v>
      </c>
      <c r="I75" s="121"/>
      <c r="J75" s="89"/>
      <c r="K75" s="71"/>
      <c r="L75" s="80">
        <v>250</v>
      </c>
      <c r="M75" s="93"/>
      <c r="N75" s="128">
        <f t="shared" si="1"/>
        <v>250</v>
      </c>
      <c r="O75" s="128">
        <f t="shared" si="20"/>
        <v>250</v>
      </c>
      <c r="P75" s="129">
        <f t="shared" si="21"/>
        <v>0</v>
      </c>
    </row>
    <row r="76" spans="2:16" outlineLevel="1" x14ac:dyDescent="0.2">
      <c r="B76" s="120"/>
      <c r="C76" s="68"/>
      <c r="D76" s="68"/>
      <c r="E76" s="69"/>
      <c r="F76" s="68" t="s">
        <v>98</v>
      </c>
      <c r="G76" s="131">
        <v>0</v>
      </c>
      <c r="H76" s="78" t="s">
        <v>9</v>
      </c>
      <c r="I76" s="121"/>
      <c r="J76" s="89"/>
      <c r="K76" s="71"/>
      <c r="L76" s="80">
        <v>5</v>
      </c>
      <c r="M76" s="93"/>
      <c r="N76" s="128">
        <f t="shared" si="1"/>
        <v>5</v>
      </c>
      <c r="O76" s="128">
        <f t="shared" si="20"/>
        <v>5</v>
      </c>
      <c r="P76" s="129">
        <f t="shared" si="21"/>
        <v>0</v>
      </c>
    </row>
    <row r="77" spans="2:16" outlineLevel="1" x14ac:dyDescent="0.2">
      <c r="B77" s="120"/>
      <c r="C77" s="68"/>
      <c r="D77" s="68"/>
      <c r="E77" s="69"/>
      <c r="F77" s="68" t="s">
        <v>443</v>
      </c>
      <c r="G77" s="131">
        <v>0</v>
      </c>
      <c r="H77" s="78" t="s">
        <v>3</v>
      </c>
      <c r="I77" s="121"/>
      <c r="J77" s="89"/>
      <c r="K77" s="71"/>
      <c r="L77" s="80">
        <v>16.5</v>
      </c>
      <c r="M77" s="93"/>
      <c r="N77" s="128">
        <f t="shared" si="1"/>
        <v>16.5</v>
      </c>
      <c r="O77" s="128">
        <f t="shared" si="20"/>
        <v>16.5</v>
      </c>
      <c r="P77" s="129">
        <f t="shared" si="21"/>
        <v>0</v>
      </c>
    </row>
    <row r="78" spans="2:16" outlineLevel="1" x14ac:dyDescent="0.2">
      <c r="B78" s="120"/>
      <c r="C78" s="68"/>
      <c r="D78" s="68"/>
      <c r="E78" s="69"/>
      <c r="F78" s="68" t="s">
        <v>507</v>
      </c>
      <c r="G78" s="131">
        <v>0</v>
      </c>
      <c r="H78" s="123" t="s">
        <v>4</v>
      </c>
      <c r="I78" s="121"/>
      <c r="J78" s="89"/>
      <c r="K78" s="71"/>
      <c r="L78" s="80">
        <v>410</v>
      </c>
      <c r="M78" s="93"/>
      <c r="N78" s="128">
        <f t="shared" si="1"/>
        <v>410</v>
      </c>
      <c r="O78" s="128">
        <f t="shared" si="20"/>
        <v>410</v>
      </c>
      <c r="P78" s="129">
        <f t="shared" si="21"/>
        <v>0</v>
      </c>
    </row>
    <row r="79" spans="2:16" outlineLevel="1" x14ac:dyDescent="0.2">
      <c r="B79" s="120"/>
      <c r="C79" s="68"/>
      <c r="D79" s="68"/>
      <c r="E79" s="69"/>
      <c r="F79" s="68" t="s">
        <v>98</v>
      </c>
      <c r="G79" s="131">
        <v>0</v>
      </c>
      <c r="H79" s="78" t="s">
        <v>9</v>
      </c>
      <c r="I79" s="121"/>
      <c r="J79" s="89"/>
      <c r="K79" s="71"/>
      <c r="L79" s="80">
        <v>5</v>
      </c>
      <c r="M79" s="93"/>
      <c r="N79" s="128">
        <f t="shared" si="1"/>
        <v>5</v>
      </c>
      <c r="O79" s="128">
        <f t="shared" si="20"/>
        <v>5</v>
      </c>
      <c r="P79" s="129">
        <f t="shared" si="21"/>
        <v>0</v>
      </c>
    </row>
    <row r="80" spans="2:16" outlineLevel="1" x14ac:dyDescent="0.2">
      <c r="B80" s="120"/>
      <c r="C80" s="68"/>
      <c r="D80" s="68"/>
      <c r="E80" s="69"/>
      <c r="F80" s="68" t="s">
        <v>443</v>
      </c>
      <c r="G80" s="131">
        <v>0</v>
      </c>
      <c r="H80" s="78" t="s">
        <v>3</v>
      </c>
      <c r="I80" s="121"/>
      <c r="J80" s="89"/>
      <c r="K80" s="71"/>
      <c r="L80" s="80">
        <v>16.5</v>
      </c>
      <c r="M80" s="93"/>
      <c r="N80" s="128">
        <f t="shared" si="1"/>
        <v>16.5</v>
      </c>
      <c r="O80" s="128">
        <f t="shared" si="20"/>
        <v>16.5</v>
      </c>
      <c r="P80" s="129">
        <f t="shared" si="21"/>
        <v>0</v>
      </c>
    </row>
    <row r="81" spans="1:16" outlineLevel="1" x14ac:dyDescent="0.2">
      <c r="B81" s="120"/>
      <c r="C81" s="68"/>
      <c r="D81" s="68"/>
      <c r="E81" s="69"/>
      <c r="F81" s="68" t="s">
        <v>508</v>
      </c>
      <c r="G81" s="131">
        <v>0</v>
      </c>
      <c r="H81" s="123" t="s">
        <v>4</v>
      </c>
      <c r="I81" s="121"/>
      <c r="J81" s="89"/>
      <c r="K81" s="71"/>
      <c r="L81" s="80">
        <v>410</v>
      </c>
      <c r="M81" s="93"/>
      <c r="N81" s="128">
        <f t="shared" si="1"/>
        <v>410</v>
      </c>
      <c r="O81" s="128">
        <f t="shared" si="20"/>
        <v>410</v>
      </c>
      <c r="P81" s="129">
        <f t="shared" si="21"/>
        <v>0</v>
      </c>
    </row>
    <row r="82" spans="1:16" outlineLevel="1" x14ac:dyDescent="0.2">
      <c r="B82" s="120"/>
      <c r="C82" s="68"/>
      <c r="D82" s="68"/>
      <c r="E82" s="69"/>
      <c r="F82" s="68" t="s">
        <v>443</v>
      </c>
      <c r="G82" s="131">
        <v>0</v>
      </c>
      <c r="H82" s="78" t="s">
        <v>3</v>
      </c>
      <c r="I82" s="121"/>
      <c r="J82" s="89"/>
      <c r="K82" s="71"/>
      <c r="L82" s="80">
        <v>16.5</v>
      </c>
      <c r="M82" s="93"/>
      <c r="N82" s="128">
        <f t="shared" si="1"/>
        <v>16.5</v>
      </c>
      <c r="O82" s="128">
        <f t="shared" si="20"/>
        <v>16.5</v>
      </c>
      <c r="P82" s="129">
        <f t="shared" si="21"/>
        <v>0</v>
      </c>
    </row>
    <row r="83" spans="1:16" outlineLevel="1" x14ac:dyDescent="0.2">
      <c r="B83" s="120"/>
      <c r="C83" s="68"/>
      <c r="D83" s="68"/>
      <c r="E83" s="69"/>
      <c r="F83" s="68" t="s">
        <v>98</v>
      </c>
      <c r="G83" s="131">
        <v>0</v>
      </c>
      <c r="H83" s="78" t="s">
        <v>9</v>
      </c>
      <c r="I83" s="121"/>
      <c r="J83" s="89"/>
      <c r="K83" s="71"/>
      <c r="L83" s="80">
        <v>5</v>
      </c>
      <c r="M83" s="93"/>
      <c r="N83" s="128">
        <f t="shared" si="1"/>
        <v>5</v>
      </c>
      <c r="O83" s="128">
        <f t="shared" si="20"/>
        <v>5</v>
      </c>
      <c r="P83" s="129">
        <f t="shared" si="21"/>
        <v>0</v>
      </c>
    </row>
    <row r="84" spans="1:16" outlineLevel="1" x14ac:dyDescent="0.2">
      <c r="B84" s="120"/>
      <c r="C84" s="68"/>
      <c r="D84" s="68"/>
      <c r="E84" s="69"/>
      <c r="F84" s="68" t="s">
        <v>509</v>
      </c>
      <c r="G84" s="131">
        <v>0</v>
      </c>
      <c r="H84" s="123" t="s">
        <v>4</v>
      </c>
      <c r="I84" s="121"/>
      <c r="J84" s="89"/>
      <c r="K84" s="71"/>
      <c r="L84" s="80">
        <v>410</v>
      </c>
      <c r="M84" s="93"/>
      <c r="N84" s="128">
        <f t="shared" si="1"/>
        <v>410</v>
      </c>
      <c r="O84" s="128">
        <f t="shared" si="20"/>
        <v>410</v>
      </c>
      <c r="P84" s="129">
        <f t="shared" si="21"/>
        <v>0</v>
      </c>
    </row>
    <row r="85" spans="1:16" outlineLevel="1" x14ac:dyDescent="0.2">
      <c r="B85" s="120"/>
      <c r="C85" s="68"/>
      <c r="D85" s="68"/>
      <c r="E85" s="69"/>
      <c r="F85" s="68" t="s">
        <v>97</v>
      </c>
      <c r="G85" s="131">
        <v>0</v>
      </c>
      <c r="H85" s="78" t="s">
        <v>9</v>
      </c>
      <c r="I85" s="121"/>
      <c r="J85" s="89"/>
      <c r="K85" s="71"/>
      <c r="L85" s="80">
        <v>5</v>
      </c>
      <c r="M85" s="93"/>
      <c r="N85" s="128">
        <f t="shared" si="1"/>
        <v>5</v>
      </c>
      <c r="O85" s="128">
        <f t="shared" si="20"/>
        <v>5</v>
      </c>
      <c r="P85" s="129">
        <f t="shared" si="21"/>
        <v>0</v>
      </c>
    </row>
    <row r="86" spans="1:16" outlineLevel="1" x14ac:dyDescent="0.2">
      <c r="B86" s="120"/>
      <c r="C86" s="68"/>
      <c r="D86" s="68"/>
      <c r="E86" s="69"/>
      <c r="F86" s="68" t="s">
        <v>510</v>
      </c>
      <c r="G86" s="131">
        <v>0</v>
      </c>
      <c r="H86" s="123" t="s">
        <v>4</v>
      </c>
      <c r="I86" s="121"/>
      <c r="J86" s="89"/>
      <c r="K86" s="71"/>
      <c r="L86" s="80">
        <v>410</v>
      </c>
      <c r="M86" s="93"/>
      <c r="N86" s="128">
        <f>L86*M$10</f>
        <v>410</v>
      </c>
      <c r="O86" s="128">
        <f>N86</f>
        <v>410</v>
      </c>
      <c r="P86" s="129">
        <f>G86*O86</f>
        <v>0</v>
      </c>
    </row>
    <row r="87" spans="1:16" outlineLevel="1" x14ac:dyDescent="0.2">
      <c r="B87" s="120"/>
      <c r="C87" s="68"/>
      <c r="D87" s="68"/>
      <c r="E87" s="69"/>
      <c r="F87" s="68" t="s">
        <v>295</v>
      </c>
      <c r="G87" s="212">
        <v>0</v>
      </c>
      <c r="H87" s="78" t="s">
        <v>8</v>
      </c>
      <c r="I87" s="89"/>
      <c r="J87" s="89"/>
      <c r="K87" s="71"/>
      <c r="L87" s="80">
        <v>25</v>
      </c>
      <c r="M87" s="93"/>
      <c r="N87" s="128">
        <f>L87*M$10</f>
        <v>25</v>
      </c>
      <c r="O87" s="128">
        <f t="shared" ref="O87" si="22">N87</f>
        <v>25</v>
      </c>
      <c r="P87" s="129">
        <f>G87*O87</f>
        <v>0</v>
      </c>
    </row>
    <row r="88" spans="1:16" s="153" customFormat="1" ht="15" x14ac:dyDescent="0.35">
      <c r="A88" s="172"/>
      <c r="B88" s="145"/>
      <c r="C88" s="74"/>
      <c r="D88" s="180"/>
      <c r="E88" s="107" t="s">
        <v>422</v>
      </c>
      <c r="F88" s="107"/>
      <c r="G88" s="163"/>
      <c r="H88" s="147"/>
      <c r="I88" s="177"/>
      <c r="J88" s="177"/>
      <c r="K88" s="149"/>
      <c r="L88" s="165"/>
      <c r="M88" s="151">
        <v>1</v>
      </c>
      <c r="N88" s="148"/>
      <c r="O88" s="148"/>
      <c r="P88" s="126">
        <f>SUM(P89:P157)</f>
        <v>0</v>
      </c>
    </row>
    <row r="89" spans="1:16" outlineLevel="1" x14ac:dyDescent="0.2">
      <c r="B89" s="120"/>
      <c r="C89" s="68"/>
      <c r="D89" s="68"/>
      <c r="E89" s="77" t="s">
        <v>112</v>
      </c>
      <c r="F89" s="86"/>
      <c r="G89" s="87"/>
      <c r="H89" s="88"/>
      <c r="I89" s="105"/>
      <c r="J89" s="105"/>
      <c r="K89" s="77"/>
      <c r="L89" s="75"/>
      <c r="M89" s="93"/>
      <c r="N89" s="121"/>
      <c r="O89" s="121"/>
      <c r="P89" s="124"/>
    </row>
    <row r="90" spans="1:16" outlineLevel="1" x14ac:dyDescent="0.2">
      <c r="B90" s="120"/>
      <c r="C90" s="68"/>
      <c r="D90" s="68"/>
      <c r="E90" s="69"/>
      <c r="F90" s="68" t="s">
        <v>113</v>
      </c>
      <c r="G90" s="131">
        <v>0</v>
      </c>
      <c r="H90" s="78" t="s">
        <v>3</v>
      </c>
      <c r="I90" s="121"/>
      <c r="J90" s="89"/>
      <c r="K90" s="71"/>
      <c r="L90" s="80">
        <v>42.5</v>
      </c>
      <c r="M90" s="93"/>
      <c r="N90" s="128">
        <f t="shared" ref="N90:N138" si="23">L90*M$88</f>
        <v>42.5</v>
      </c>
      <c r="O90" s="128">
        <f t="shared" ref="O90:O157" si="24">N90</f>
        <v>42.5</v>
      </c>
      <c r="P90" s="129">
        <f t="shared" ref="P90:P100" si="25">G90*O90</f>
        <v>0</v>
      </c>
    </row>
    <row r="91" spans="1:16" outlineLevel="1" x14ac:dyDescent="0.2">
      <c r="B91" s="120"/>
      <c r="C91" s="68"/>
      <c r="D91" s="68"/>
      <c r="E91" s="69"/>
      <c r="F91" s="68" t="s">
        <v>114</v>
      </c>
      <c r="G91" s="122">
        <f>G90*0.1</f>
        <v>0</v>
      </c>
      <c r="H91" s="78" t="s">
        <v>4</v>
      </c>
      <c r="I91" s="89"/>
      <c r="J91" s="89"/>
      <c r="K91" s="71"/>
      <c r="L91" s="80">
        <f>18.6*10</f>
        <v>186</v>
      </c>
      <c r="M91" s="93"/>
      <c r="N91" s="128">
        <f t="shared" si="23"/>
        <v>186</v>
      </c>
      <c r="O91" s="128">
        <f t="shared" si="24"/>
        <v>186</v>
      </c>
      <c r="P91" s="129">
        <f t="shared" si="25"/>
        <v>0</v>
      </c>
    </row>
    <row r="92" spans="1:16" outlineLevel="1" x14ac:dyDescent="0.2">
      <c r="B92" s="120"/>
      <c r="C92" s="68"/>
      <c r="D92" s="68"/>
      <c r="E92" s="69"/>
      <c r="F92" s="68" t="s">
        <v>450</v>
      </c>
      <c r="G92" s="131">
        <v>0</v>
      </c>
      <c r="H92" s="78" t="s">
        <v>3</v>
      </c>
      <c r="I92" s="79">
        <v>0.1</v>
      </c>
      <c r="J92" s="79" t="s">
        <v>456</v>
      </c>
      <c r="K92" s="71" t="s">
        <v>92</v>
      </c>
      <c r="L92" s="80">
        <v>12.5</v>
      </c>
      <c r="M92" s="93"/>
      <c r="N92" s="128">
        <f t="shared" si="23"/>
        <v>12.5</v>
      </c>
      <c r="O92" s="128">
        <f t="shared" si="24"/>
        <v>12.5</v>
      </c>
      <c r="P92" s="129">
        <f t="shared" si="25"/>
        <v>0</v>
      </c>
    </row>
    <row r="93" spans="1:16" outlineLevel="1" x14ac:dyDescent="0.2">
      <c r="B93" s="120"/>
      <c r="C93" s="68"/>
      <c r="D93" s="68"/>
      <c r="E93" s="69"/>
      <c r="F93" s="68" t="s">
        <v>478</v>
      </c>
      <c r="G93" s="122">
        <f>G92</f>
        <v>0</v>
      </c>
      <c r="H93" s="78" t="s">
        <v>3</v>
      </c>
      <c r="I93" s="89"/>
      <c r="J93" s="89"/>
      <c r="K93" s="71" t="s">
        <v>125</v>
      </c>
      <c r="L93" s="80">
        <v>21.9</v>
      </c>
      <c r="M93" s="93"/>
      <c r="N93" s="128">
        <f t="shared" si="23"/>
        <v>21.9</v>
      </c>
      <c r="O93" s="128">
        <f t="shared" si="24"/>
        <v>21.9</v>
      </c>
      <c r="P93" s="129">
        <f t="shared" si="25"/>
        <v>0</v>
      </c>
    </row>
    <row r="94" spans="1:16" outlineLevel="1" x14ac:dyDescent="0.2">
      <c r="B94" s="120"/>
      <c r="C94" s="68"/>
      <c r="D94" s="68"/>
      <c r="E94" s="69"/>
      <c r="F94" s="68" t="s">
        <v>115</v>
      </c>
      <c r="G94" s="122">
        <f>G91</f>
        <v>0</v>
      </c>
      <c r="H94" s="78" t="s">
        <v>4</v>
      </c>
      <c r="I94" s="121"/>
      <c r="J94" s="89"/>
      <c r="K94" s="71"/>
      <c r="L94" s="80">
        <v>69.5</v>
      </c>
      <c r="M94" s="93"/>
      <c r="N94" s="128">
        <f t="shared" si="23"/>
        <v>69.5</v>
      </c>
      <c r="O94" s="128">
        <f t="shared" si="24"/>
        <v>69.5</v>
      </c>
      <c r="P94" s="129">
        <f t="shared" si="25"/>
        <v>0</v>
      </c>
    </row>
    <row r="95" spans="1:16" outlineLevel="1" x14ac:dyDescent="0.2">
      <c r="B95" s="120"/>
      <c r="C95" s="68"/>
      <c r="D95" s="68"/>
      <c r="E95" s="69"/>
      <c r="F95" s="68" t="s">
        <v>495</v>
      </c>
      <c r="G95" s="131">
        <v>0</v>
      </c>
      <c r="H95" s="78" t="s">
        <v>3</v>
      </c>
      <c r="I95" s="121"/>
      <c r="J95" s="89"/>
      <c r="K95" s="71" t="s">
        <v>116</v>
      </c>
      <c r="L95" s="80">
        <v>25</v>
      </c>
      <c r="M95" s="93"/>
      <c r="N95" s="128">
        <f t="shared" si="23"/>
        <v>25</v>
      </c>
      <c r="O95" s="128">
        <f t="shared" si="24"/>
        <v>25</v>
      </c>
      <c r="P95" s="129">
        <f t="shared" si="25"/>
        <v>0</v>
      </c>
    </row>
    <row r="96" spans="1:16" outlineLevel="1" x14ac:dyDescent="0.2">
      <c r="B96" s="120"/>
      <c r="C96" s="68"/>
      <c r="D96" s="68"/>
      <c r="E96" s="69"/>
      <c r="F96" s="68" t="s">
        <v>5</v>
      </c>
      <c r="G96" s="122">
        <f>G95</f>
        <v>0</v>
      </c>
      <c r="H96" s="78" t="s">
        <v>3</v>
      </c>
      <c r="I96" s="121"/>
      <c r="J96" s="89"/>
      <c r="K96" s="71"/>
      <c r="L96" s="80">
        <v>17.600000000000001</v>
      </c>
      <c r="M96" s="93"/>
      <c r="N96" s="128">
        <f t="shared" si="23"/>
        <v>17.600000000000001</v>
      </c>
      <c r="O96" s="128">
        <f t="shared" si="24"/>
        <v>17.600000000000001</v>
      </c>
      <c r="P96" s="129">
        <f t="shared" si="25"/>
        <v>0</v>
      </c>
    </row>
    <row r="97" spans="2:16" outlineLevel="1" x14ac:dyDescent="0.2">
      <c r="B97" s="120"/>
      <c r="C97" s="68"/>
      <c r="D97" s="68"/>
      <c r="E97" s="69"/>
      <c r="F97" s="68" t="s">
        <v>6</v>
      </c>
      <c r="G97" s="122">
        <f>G95</f>
        <v>0</v>
      </c>
      <c r="H97" s="78" t="s">
        <v>3</v>
      </c>
      <c r="I97" s="121"/>
      <c r="J97" s="89"/>
      <c r="K97" s="71"/>
      <c r="L97" s="80">
        <v>15.4</v>
      </c>
      <c r="M97" s="93"/>
      <c r="N97" s="128">
        <f t="shared" si="23"/>
        <v>15.4</v>
      </c>
      <c r="O97" s="128">
        <f t="shared" si="24"/>
        <v>15.4</v>
      </c>
      <c r="P97" s="129">
        <f t="shared" si="25"/>
        <v>0</v>
      </c>
    </row>
    <row r="98" spans="2:16" outlineLevel="1" x14ac:dyDescent="0.2">
      <c r="B98" s="120"/>
      <c r="C98" s="68"/>
      <c r="D98" s="68"/>
      <c r="E98" s="69"/>
      <c r="F98" s="68" t="s">
        <v>117</v>
      </c>
      <c r="G98" s="122">
        <f>G95</f>
        <v>0</v>
      </c>
      <c r="H98" s="78" t="s">
        <v>3</v>
      </c>
      <c r="I98" s="121"/>
      <c r="J98" s="89"/>
      <c r="K98" s="71"/>
      <c r="L98" s="80">
        <v>24.35</v>
      </c>
      <c r="M98" s="93"/>
      <c r="N98" s="128">
        <f t="shared" si="23"/>
        <v>24.35</v>
      </c>
      <c r="O98" s="128">
        <f t="shared" si="24"/>
        <v>24.35</v>
      </c>
      <c r="P98" s="129">
        <f t="shared" si="25"/>
        <v>0</v>
      </c>
    </row>
    <row r="99" spans="2:16" outlineLevel="1" x14ac:dyDescent="0.2">
      <c r="B99" s="120"/>
      <c r="C99" s="68"/>
      <c r="D99" s="68"/>
      <c r="E99" s="69"/>
      <c r="F99" s="68" t="s">
        <v>118</v>
      </c>
      <c r="G99" s="131">
        <v>0</v>
      </c>
      <c r="H99" s="78" t="s">
        <v>3</v>
      </c>
      <c r="I99" s="121"/>
      <c r="J99" s="89"/>
      <c r="K99" s="71"/>
      <c r="L99" s="80">
        <v>25</v>
      </c>
      <c r="M99" s="93"/>
      <c r="N99" s="128">
        <f t="shared" si="23"/>
        <v>25</v>
      </c>
      <c r="O99" s="128">
        <f t="shared" si="24"/>
        <v>25</v>
      </c>
      <c r="P99" s="129">
        <f t="shared" si="25"/>
        <v>0</v>
      </c>
    </row>
    <row r="100" spans="2:16" outlineLevel="1" x14ac:dyDescent="0.2">
      <c r="B100" s="120"/>
      <c r="C100" s="68"/>
      <c r="D100" s="68"/>
      <c r="E100" s="69"/>
      <c r="F100" s="68" t="s">
        <v>295</v>
      </c>
      <c r="G100" s="122">
        <f>G90*5/1000+G91*2+G94*2+G98*5/1000</f>
        <v>0</v>
      </c>
      <c r="H100" s="78" t="s">
        <v>8</v>
      </c>
      <c r="I100" s="121"/>
      <c r="J100" s="89"/>
      <c r="K100" s="71"/>
      <c r="L100" s="80">
        <v>25</v>
      </c>
      <c r="M100" s="93"/>
      <c r="N100" s="128">
        <f t="shared" si="23"/>
        <v>25</v>
      </c>
      <c r="O100" s="128">
        <f t="shared" si="24"/>
        <v>25</v>
      </c>
      <c r="P100" s="129">
        <f t="shared" si="25"/>
        <v>0</v>
      </c>
    </row>
    <row r="101" spans="2:16" outlineLevel="1" x14ac:dyDescent="0.2">
      <c r="B101" s="120"/>
      <c r="C101" s="68"/>
      <c r="D101" s="68"/>
      <c r="E101" s="77" t="s">
        <v>119</v>
      </c>
      <c r="F101" s="70"/>
      <c r="G101" s="122"/>
      <c r="H101" s="123"/>
      <c r="I101" s="89"/>
      <c r="J101" s="89"/>
      <c r="K101" s="71"/>
      <c r="L101" s="80"/>
      <c r="M101" s="93"/>
      <c r="N101" s="128">
        <f t="shared" si="23"/>
        <v>0</v>
      </c>
      <c r="O101" s="121"/>
      <c r="P101" s="124"/>
    </row>
    <row r="102" spans="2:16" outlineLevel="1" x14ac:dyDescent="0.2">
      <c r="B102" s="120"/>
      <c r="C102" s="68"/>
      <c r="D102" s="68"/>
      <c r="E102" s="69"/>
      <c r="F102" s="68" t="s">
        <v>459</v>
      </c>
      <c r="G102" s="212">
        <v>0</v>
      </c>
      <c r="H102" s="78" t="s">
        <v>3</v>
      </c>
      <c r="I102" s="121"/>
      <c r="J102" s="89"/>
      <c r="K102" s="71"/>
      <c r="L102" s="80">
        <v>25</v>
      </c>
      <c r="M102" s="93"/>
      <c r="N102" s="128">
        <f t="shared" si="23"/>
        <v>25</v>
      </c>
      <c r="O102" s="128">
        <f t="shared" si="24"/>
        <v>25</v>
      </c>
      <c r="P102" s="129">
        <f>G102*O102</f>
        <v>0</v>
      </c>
    </row>
    <row r="103" spans="2:16" outlineLevel="1" x14ac:dyDescent="0.2">
      <c r="B103" s="120"/>
      <c r="C103" s="68"/>
      <c r="D103" s="68"/>
      <c r="E103" s="69"/>
      <c r="F103" s="68" t="s">
        <v>497</v>
      </c>
      <c r="G103" s="92">
        <f>G102</f>
        <v>0</v>
      </c>
      <c r="H103" s="78" t="s">
        <v>3</v>
      </c>
      <c r="I103" s="121"/>
      <c r="J103" s="89"/>
      <c r="K103" s="71" t="s">
        <v>120</v>
      </c>
      <c r="L103" s="80">
        <v>58.5</v>
      </c>
      <c r="M103" s="93"/>
      <c r="N103" s="128">
        <f t="shared" si="23"/>
        <v>58.5</v>
      </c>
      <c r="O103" s="128">
        <f t="shared" si="24"/>
        <v>58.5</v>
      </c>
      <c r="P103" s="129">
        <f>G103*O103</f>
        <v>0</v>
      </c>
    </row>
    <row r="104" spans="2:16" outlineLevel="1" x14ac:dyDescent="0.2">
      <c r="B104" s="120"/>
      <c r="C104" s="68"/>
      <c r="D104" s="68"/>
      <c r="E104" s="69"/>
      <c r="F104" s="68" t="s">
        <v>121</v>
      </c>
      <c r="G104" s="212">
        <v>0</v>
      </c>
      <c r="H104" s="78" t="s">
        <v>75</v>
      </c>
      <c r="I104" s="121"/>
      <c r="J104" s="89"/>
      <c r="K104" s="71"/>
      <c r="L104" s="80">
        <v>12.5</v>
      </c>
      <c r="M104" s="93"/>
      <c r="N104" s="128">
        <f t="shared" si="23"/>
        <v>12.5</v>
      </c>
      <c r="O104" s="128">
        <f t="shared" si="24"/>
        <v>12.5</v>
      </c>
      <c r="P104" s="129">
        <f>G104*O104</f>
        <v>0</v>
      </c>
    </row>
    <row r="105" spans="2:16" outlineLevel="1" x14ac:dyDescent="0.2">
      <c r="B105" s="120"/>
      <c r="C105" s="68"/>
      <c r="D105" s="68"/>
      <c r="E105" s="69"/>
      <c r="F105" s="68" t="s">
        <v>295</v>
      </c>
      <c r="G105" s="92">
        <f>G103*0.1*2+G103*0.1*1.6</f>
        <v>0</v>
      </c>
      <c r="H105" s="78" t="s">
        <v>8</v>
      </c>
      <c r="I105" s="121"/>
      <c r="J105" s="89"/>
      <c r="K105" s="71"/>
      <c r="L105" s="80">
        <v>25</v>
      </c>
      <c r="M105" s="93"/>
      <c r="N105" s="128">
        <f t="shared" si="23"/>
        <v>25</v>
      </c>
      <c r="O105" s="128">
        <f t="shared" si="24"/>
        <v>25</v>
      </c>
      <c r="P105" s="129">
        <f>G105*O105</f>
        <v>0</v>
      </c>
    </row>
    <row r="106" spans="2:16" outlineLevel="1" x14ac:dyDescent="0.2">
      <c r="B106" s="120"/>
      <c r="C106" s="68"/>
      <c r="D106" s="68"/>
      <c r="E106" s="77" t="s">
        <v>122</v>
      </c>
      <c r="F106" s="68"/>
      <c r="G106" s="122"/>
      <c r="H106" s="123"/>
      <c r="I106" s="89"/>
      <c r="J106" s="89"/>
      <c r="K106" s="71"/>
      <c r="L106" s="80"/>
      <c r="M106" s="93"/>
      <c r="N106" s="128">
        <f t="shared" si="23"/>
        <v>0</v>
      </c>
      <c r="O106" s="121"/>
      <c r="P106" s="124"/>
    </row>
    <row r="107" spans="2:16" outlineLevel="1" x14ac:dyDescent="0.2">
      <c r="B107" s="120"/>
      <c r="C107" s="68"/>
      <c r="D107" s="68"/>
      <c r="E107" s="77"/>
      <c r="F107" s="68" t="s">
        <v>451</v>
      </c>
      <c r="G107" s="131">
        <v>0</v>
      </c>
      <c r="H107" s="78" t="s">
        <v>3</v>
      </c>
      <c r="I107" s="121"/>
      <c r="J107" s="89"/>
      <c r="K107" s="71" t="s">
        <v>123</v>
      </c>
      <c r="L107" s="80">
        <v>15</v>
      </c>
      <c r="M107" s="93"/>
      <c r="N107" s="128">
        <f t="shared" si="23"/>
        <v>15</v>
      </c>
      <c r="O107" s="128">
        <f t="shared" si="24"/>
        <v>15</v>
      </c>
      <c r="P107" s="129">
        <f t="shared" ref="P107:P131" si="26">G107*O107</f>
        <v>0</v>
      </c>
    </row>
    <row r="108" spans="2:16" outlineLevel="1" x14ac:dyDescent="0.2">
      <c r="B108" s="120"/>
      <c r="C108" s="68"/>
      <c r="D108" s="68"/>
      <c r="E108" s="77"/>
      <c r="F108" s="68" t="s">
        <v>450</v>
      </c>
      <c r="G108" s="210">
        <v>0</v>
      </c>
      <c r="H108" s="78" t="s">
        <v>3</v>
      </c>
      <c r="I108" s="79">
        <v>1</v>
      </c>
      <c r="J108" s="79" t="s">
        <v>453</v>
      </c>
      <c r="K108" s="71" t="s">
        <v>92</v>
      </c>
      <c r="L108" s="80">
        <v>12.5</v>
      </c>
      <c r="M108" s="93"/>
      <c r="N108" s="128">
        <f t="shared" si="23"/>
        <v>12.5</v>
      </c>
      <c r="O108" s="128">
        <f t="shared" si="24"/>
        <v>12.5</v>
      </c>
      <c r="P108" s="129">
        <f t="shared" si="26"/>
        <v>0</v>
      </c>
    </row>
    <row r="109" spans="2:16" outlineLevel="1" x14ac:dyDescent="0.2">
      <c r="B109" s="120"/>
      <c r="C109" s="68"/>
      <c r="D109" s="68"/>
      <c r="E109" s="77"/>
      <c r="F109" s="68" t="s">
        <v>527</v>
      </c>
      <c r="G109" s="212">
        <v>0</v>
      </c>
      <c r="H109" s="78" t="s">
        <v>4</v>
      </c>
      <c r="I109" s="121"/>
      <c r="J109" s="89"/>
      <c r="K109" s="71"/>
      <c r="L109" s="80">
        <v>180</v>
      </c>
      <c r="M109" s="93"/>
      <c r="N109" s="128">
        <f t="shared" si="23"/>
        <v>180</v>
      </c>
      <c r="O109" s="128">
        <f t="shared" si="24"/>
        <v>180</v>
      </c>
      <c r="P109" s="129">
        <f t="shared" si="26"/>
        <v>0</v>
      </c>
    </row>
    <row r="110" spans="2:16" outlineLevel="1" x14ac:dyDescent="0.2">
      <c r="B110" s="120"/>
      <c r="C110" s="68"/>
      <c r="D110" s="68"/>
      <c r="E110" s="77"/>
      <c r="F110" s="68" t="s">
        <v>501</v>
      </c>
      <c r="G110" s="210">
        <v>0</v>
      </c>
      <c r="H110" s="78" t="s">
        <v>4</v>
      </c>
      <c r="I110" s="130"/>
      <c r="J110" s="79" t="s">
        <v>500</v>
      </c>
      <c r="K110" s="90" t="s">
        <v>124</v>
      </c>
      <c r="L110" s="80">
        <v>350</v>
      </c>
      <c r="M110" s="93"/>
      <c r="N110" s="128">
        <f t="shared" si="23"/>
        <v>350</v>
      </c>
      <c r="O110" s="128">
        <f t="shared" si="24"/>
        <v>350</v>
      </c>
      <c r="P110" s="129">
        <f t="shared" si="26"/>
        <v>0</v>
      </c>
    </row>
    <row r="111" spans="2:16" outlineLevel="1" x14ac:dyDescent="0.2">
      <c r="B111" s="120"/>
      <c r="C111" s="68"/>
      <c r="D111" s="68"/>
      <c r="E111" s="77"/>
      <c r="F111" s="68" t="s">
        <v>478</v>
      </c>
      <c r="G111" s="210">
        <v>0</v>
      </c>
      <c r="H111" s="78" t="s">
        <v>3</v>
      </c>
      <c r="I111" s="93">
        <v>0.9</v>
      </c>
      <c r="J111" s="79" t="s">
        <v>592</v>
      </c>
      <c r="K111" s="71" t="s">
        <v>125</v>
      </c>
      <c r="L111" s="80">
        <v>21.9</v>
      </c>
      <c r="M111" s="93"/>
      <c r="N111" s="128">
        <f t="shared" si="23"/>
        <v>21.9</v>
      </c>
      <c r="O111" s="128">
        <f t="shared" si="24"/>
        <v>21.9</v>
      </c>
      <c r="P111" s="129">
        <f t="shared" si="26"/>
        <v>0</v>
      </c>
    </row>
    <row r="112" spans="2:16" outlineLevel="1" x14ac:dyDescent="0.2">
      <c r="B112" s="120"/>
      <c r="C112" s="68"/>
      <c r="D112" s="68"/>
      <c r="E112" s="77"/>
      <c r="F112" s="68" t="s">
        <v>126</v>
      </c>
      <c r="G112" s="128">
        <f>G111</f>
        <v>0</v>
      </c>
      <c r="H112" s="78" t="s">
        <v>3</v>
      </c>
      <c r="I112" s="121"/>
      <c r="J112" s="89"/>
      <c r="K112" s="71" t="s">
        <v>127</v>
      </c>
      <c r="L112" s="80">
        <v>11.5</v>
      </c>
      <c r="M112" s="93"/>
      <c r="N112" s="128">
        <f t="shared" si="23"/>
        <v>11.5</v>
      </c>
      <c r="O112" s="128">
        <f t="shared" si="24"/>
        <v>11.5</v>
      </c>
      <c r="P112" s="129">
        <f t="shared" si="26"/>
        <v>0</v>
      </c>
    </row>
    <row r="113" spans="2:16" outlineLevel="1" x14ac:dyDescent="0.2">
      <c r="B113" s="120"/>
      <c r="C113" s="68"/>
      <c r="D113" s="68"/>
      <c r="E113" s="77"/>
      <c r="F113" s="68" t="s">
        <v>128</v>
      </c>
      <c r="G113" s="91">
        <f>G111</f>
        <v>0</v>
      </c>
      <c r="H113" s="78" t="s">
        <v>3</v>
      </c>
      <c r="I113" s="121"/>
      <c r="J113" s="89"/>
      <c r="K113" s="71" t="s">
        <v>129</v>
      </c>
      <c r="L113" s="80">
        <v>7.5</v>
      </c>
      <c r="M113" s="93"/>
      <c r="N113" s="128">
        <f t="shared" si="23"/>
        <v>7.5</v>
      </c>
      <c r="O113" s="128">
        <f t="shared" si="24"/>
        <v>7.5</v>
      </c>
      <c r="P113" s="129">
        <f t="shared" si="26"/>
        <v>0</v>
      </c>
    </row>
    <row r="114" spans="2:16" outlineLevel="1" x14ac:dyDescent="0.2">
      <c r="B114" s="120"/>
      <c r="C114" s="68"/>
      <c r="D114" s="68"/>
      <c r="E114" s="77"/>
      <c r="F114" s="68" t="s">
        <v>450</v>
      </c>
      <c r="G114" s="211">
        <v>0</v>
      </c>
      <c r="H114" s="78" t="s">
        <v>3</v>
      </c>
      <c r="I114" s="79">
        <v>1</v>
      </c>
      <c r="J114" s="79" t="s">
        <v>454</v>
      </c>
      <c r="K114" s="71" t="s">
        <v>92</v>
      </c>
      <c r="L114" s="80">
        <v>12.5</v>
      </c>
      <c r="M114" s="93"/>
      <c r="N114" s="128">
        <f t="shared" si="23"/>
        <v>12.5</v>
      </c>
      <c r="O114" s="128">
        <f t="shared" si="24"/>
        <v>12.5</v>
      </c>
      <c r="P114" s="129">
        <f t="shared" si="26"/>
        <v>0</v>
      </c>
    </row>
    <row r="115" spans="2:16" outlineLevel="1" x14ac:dyDescent="0.2">
      <c r="B115" s="120"/>
      <c r="C115" s="68"/>
      <c r="D115" s="68"/>
      <c r="E115" s="77"/>
      <c r="F115" s="68" t="s">
        <v>480</v>
      </c>
      <c r="G115" s="211">
        <v>0</v>
      </c>
      <c r="H115" s="78" t="s">
        <v>3</v>
      </c>
      <c r="I115" s="89"/>
      <c r="J115" s="89"/>
      <c r="K115" s="71" t="s">
        <v>130</v>
      </c>
      <c r="L115" s="80">
        <v>30.5</v>
      </c>
      <c r="M115" s="93"/>
      <c r="N115" s="128">
        <f t="shared" si="23"/>
        <v>30.5</v>
      </c>
      <c r="O115" s="128">
        <f t="shared" si="24"/>
        <v>30.5</v>
      </c>
      <c r="P115" s="129">
        <f t="shared" si="26"/>
        <v>0</v>
      </c>
    </row>
    <row r="116" spans="2:16" outlineLevel="1" x14ac:dyDescent="0.2">
      <c r="B116" s="120"/>
      <c r="C116" s="68"/>
      <c r="D116" s="68"/>
      <c r="E116" s="77"/>
      <c r="F116" s="68" t="s">
        <v>462</v>
      </c>
      <c r="G116" s="91">
        <f>G115</f>
        <v>0</v>
      </c>
      <c r="H116" s="78" t="s">
        <v>3</v>
      </c>
      <c r="I116" s="121"/>
      <c r="J116" s="89"/>
      <c r="K116" s="71" t="s">
        <v>127</v>
      </c>
      <c r="L116" s="80">
        <v>11.5</v>
      </c>
      <c r="M116" s="93"/>
      <c r="N116" s="128">
        <f t="shared" si="23"/>
        <v>11.5</v>
      </c>
      <c r="O116" s="128">
        <f t="shared" si="24"/>
        <v>11.5</v>
      </c>
      <c r="P116" s="129">
        <f t="shared" si="26"/>
        <v>0</v>
      </c>
    </row>
    <row r="117" spans="2:16" outlineLevel="1" x14ac:dyDescent="0.2">
      <c r="B117" s="120"/>
      <c r="C117" s="68"/>
      <c r="D117" s="68"/>
      <c r="E117" s="77"/>
      <c r="F117" s="68" t="s">
        <v>131</v>
      </c>
      <c r="G117" s="220">
        <f>G115</f>
        <v>0</v>
      </c>
      <c r="H117" s="78" t="s">
        <v>3</v>
      </c>
      <c r="I117" s="121"/>
      <c r="J117" s="89"/>
      <c r="K117" s="71" t="s">
        <v>129</v>
      </c>
      <c r="L117" s="80">
        <v>7.5</v>
      </c>
      <c r="M117" s="93"/>
      <c r="N117" s="128">
        <f t="shared" si="23"/>
        <v>7.5</v>
      </c>
      <c r="O117" s="128">
        <f t="shared" si="24"/>
        <v>7.5</v>
      </c>
      <c r="P117" s="129">
        <f t="shared" si="26"/>
        <v>0</v>
      </c>
    </row>
    <row r="118" spans="2:16" outlineLevel="1" x14ac:dyDescent="0.2">
      <c r="B118" s="120"/>
      <c r="C118" s="68"/>
      <c r="D118" s="68"/>
      <c r="E118" s="69"/>
      <c r="F118" s="68" t="s">
        <v>132</v>
      </c>
      <c r="G118" s="131">
        <v>0</v>
      </c>
      <c r="H118" s="78" t="s">
        <v>3</v>
      </c>
      <c r="I118" s="121"/>
      <c r="J118" s="89"/>
      <c r="K118" s="71" t="s">
        <v>133</v>
      </c>
      <c r="L118" s="80">
        <v>110</v>
      </c>
      <c r="M118" s="93"/>
      <c r="N118" s="128">
        <f t="shared" si="23"/>
        <v>110</v>
      </c>
      <c r="O118" s="128">
        <f t="shared" si="24"/>
        <v>110</v>
      </c>
      <c r="P118" s="129">
        <f t="shared" si="26"/>
        <v>0</v>
      </c>
    </row>
    <row r="119" spans="2:16" outlineLevel="1" x14ac:dyDescent="0.2">
      <c r="B119" s="120"/>
      <c r="C119" s="68"/>
      <c r="D119" s="68"/>
      <c r="E119" s="69"/>
      <c r="F119" s="68" t="s">
        <v>134</v>
      </c>
      <c r="G119" s="131">
        <v>0</v>
      </c>
      <c r="H119" s="78" t="s">
        <v>3</v>
      </c>
      <c r="I119" s="121"/>
      <c r="J119" s="89"/>
      <c r="K119" s="71" t="s">
        <v>135</v>
      </c>
      <c r="L119" s="80">
        <v>81.75</v>
      </c>
      <c r="M119" s="93"/>
      <c r="N119" s="128">
        <f t="shared" si="23"/>
        <v>81.75</v>
      </c>
      <c r="O119" s="128">
        <f t="shared" si="24"/>
        <v>81.75</v>
      </c>
      <c r="P119" s="129">
        <f t="shared" si="26"/>
        <v>0</v>
      </c>
    </row>
    <row r="120" spans="2:16" outlineLevel="1" x14ac:dyDescent="0.2">
      <c r="B120" s="120"/>
      <c r="C120" s="68"/>
      <c r="D120" s="68"/>
      <c r="E120" s="69"/>
      <c r="F120" s="68" t="s">
        <v>440</v>
      </c>
      <c r="G120" s="131">
        <v>0</v>
      </c>
      <c r="H120" s="78" t="s">
        <v>3</v>
      </c>
      <c r="I120" s="121"/>
      <c r="J120" s="89"/>
      <c r="K120" s="71"/>
      <c r="L120" s="80">
        <v>40</v>
      </c>
      <c r="M120" s="93"/>
      <c r="N120" s="128">
        <f t="shared" si="23"/>
        <v>40</v>
      </c>
      <c r="O120" s="128">
        <f t="shared" si="24"/>
        <v>40</v>
      </c>
      <c r="P120" s="129">
        <f t="shared" si="26"/>
        <v>0</v>
      </c>
    </row>
    <row r="121" spans="2:16" outlineLevel="1" x14ac:dyDescent="0.2">
      <c r="B121" s="120"/>
      <c r="C121" s="68"/>
      <c r="D121" s="68"/>
      <c r="E121" s="69"/>
      <c r="F121" s="68" t="s">
        <v>455</v>
      </c>
      <c r="G121" s="131">
        <v>0</v>
      </c>
      <c r="H121" s="78" t="s">
        <v>3</v>
      </c>
      <c r="I121" s="121"/>
      <c r="J121" s="89"/>
      <c r="K121" s="71" t="s">
        <v>136</v>
      </c>
      <c r="L121" s="80">
        <v>12.5</v>
      </c>
      <c r="M121" s="93"/>
      <c r="N121" s="128">
        <f t="shared" si="23"/>
        <v>12.5</v>
      </c>
      <c r="O121" s="128">
        <f t="shared" si="24"/>
        <v>12.5</v>
      </c>
      <c r="P121" s="129">
        <f t="shared" si="26"/>
        <v>0</v>
      </c>
    </row>
    <row r="122" spans="2:16" outlineLevel="1" x14ac:dyDescent="0.2">
      <c r="B122" s="120"/>
      <c r="C122" s="68"/>
      <c r="D122" s="68"/>
      <c r="E122" s="69"/>
      <c r="F122" s="68" t="s">
        <v>137</v>
      </c>
      <c r="G122" s="131">
        <v>0</v>
      </c>
      <c r="H122" s="78" t="s">
        <v>3</v>
      </c>
      <c r="I122" s="121"/>
      <c r="J122" s="89"/>
      <c r="K122" s="71" t="s">
        <v>138</v>
      </c>
      <c r="L122" s="80">
        <v>86.5</v>
      </c>
      <c r="M122" s="93"/>
      <c r="N122" s="128">
        <f t="shared" si="23"/>
        <v>86.5</v>
      </c>
      <c r="O122" s="128">
        <f t="shared" si="24"/>
        <v>86.5</v>
      </c>
      <c r="P122" s="129">
        <f t="shared" si="26"/>
        <v>0</v>
      </c>
    </row>
    <row r="123" spans="2:16" outlineLevel="1" x14ac:dyDescent="0.2">
      <c r="B123" s="120"/>
      <c r="C123" s="68"/>
      <c r="D123" s="68"/>
      <c r="E123" s="69"/>
      <c r="F123" s="68" t="s">
        <v>475</v>
      </c>
      <c r="G123" s="131">
        <v>0</v>
      </c>
      <c r="H123" s="78" t="s">
        <v>3</v>
      </c>
      <c r="I123" s="121"/>
      <c r="J123" s="89"/>
      <c r="K123" s="71" t="s">
        <v>139</v>
      </c>
      <c r="L123" s="80">
        <v>152</v>
      </c>
      <c r="M123" s="93"/>
      <c r="N123" s="128">
        <f t="shared" si="23"/>
        <v>152</v>
      </c>
      <c r="O123" s="128">
        <f t="shared" si="24"/>
        <v>152</v>
      </c>
      <c r="P123" s="129">
        <f t="shared" si="26"/>
        <v>0</v>
      </c>
    </row>
    <row r="124" spans="2:16" outlineLevel="1" x14ac:dyDescent="0.2">
      <c r="B124" s="120"/>
      <c r="C124" s="68"/>
      <c r="D124" s="68"/>
      <c r="E124" s="69"/>
      <c r="F124" s="68" t="s">
        <v>140</v>
      </c>
      <c r="G124" s="122">
        <f>G123</f>
        <v>0</v>
      </c>
      <c r="H124" s="78" t="s">
        <v>3</v>
      </c>
      <c r="I124" s="121"/>
      <c r="J124" s="89"/>
      <c r="K124" s="71" t="s">
        <v>141</v>
      </c>
      <c r="L124" s="80">
        <v>45.5</v>
      </c>
      <c r="M124" s="93"/>
      <c r="N124" s="128">
        <f t="shared" si="23"/>
        <v>45.5</v>
      </c>
      <c r="O124" s="128">
        <f t="shared" si="24"/>
        <v>45.5</v>
      </c>
      <c r="P124" s="129">
        <f t="shared" si="26"/>
        <v>0</v>
      </c>
    </row>
    <row r="125" spans="2:16" outlineLevel="1" x14ac:dyDescent="0.2">
      <c r="B125" s="120"/>
      <c r="C125" s="68"/>
      <c r="D125" s="68"/>
      <c r="E125" s="69"/>
      <c r="F125" s="68" t="s">
        <v>478</v>
      </c>
      <c r="G125" s="131">
        <v>0</v>
      </c>
      <c r="H125" s="78" t="s">
        <v>3</v>
      </c>
      <c r="I125" s="89"/>
      <c r="J125" s="89" t="s">
        <v>479</v>
      </c>
      <c r="K125" s="71" t="s">
        <v>125</v>
      </c>
      <c r="L125" s="80">
        <v>21.9</v>
      </c>
      <c r="M125" s="93"/>
      <c r="N125" s="128">
        <f t="shared" si="23"/>
        <v>21.9</v>
      </c>
      <c r="O125" s="128">
        <f t="shared" si="24"/>
        <v>21.9</v>
      </c>
      <c r="P125" s="129">
        <f t="shared" si="26"/>
        <v>0</v>
      </c>
    </row>
    <row r="126" spans="2:16" outlineLevel="1" x14ac:dyDescent="0.2">
      <c r="B126" s="120"/>
      <c r="C126" s="68"/>
      <c r="D126" s="68"/>
      <c r="E126" s="69"/>
      <c r="F126" s="68" t="s">
        <v>128</v>
      </c>
      <c r="G126" s="122">
        <f>G125</f>
        <v>0</v>
      </c>
      <c r="H126" s="78" t="s">
        <v>3</v>
      </c>
      <c r="I126" s="121"/>
      <c r="J126" s="89" t="s">
        <v>479</v>
      </c>
      <c r="K126" s="71" t="s">
        <v>129</v>
      </c>
      <c r="L126" s="80">
        <v>7.5</v>
      </c>
      <c r="M126" s="93"/>
      <c r="N126" s="128">
        <f t="shared" si="23"/>
        <v>7.5</v>
      </c>
      <c r="O126" s="128">
        <f t="shared" si="24"/>
        <v>7.5</v>
      </c>
      <c r="P126" s="129">
        <f t="shared" si="26"/>
        <v>0</v>
      </c>
    </row>
    <row r="127" spans="2:16" outlineLevel="1" x14ac:dyDescent="0.2">
      <c r="B127" s="120"/>
      <c r="C127" s="68"/>
      <c r="D127" s="68"/>
      <c r="E127" s="69"/>
      <c r="F127" s="68" t="s">
        <v>480</v>
      </c>
      <c r="G127" s="122">
        <v>0</v>
      </c>
      <c r="H127" s="78" t="s">
        <v>3</v>
      </c>
      <c r="I127" s="89"/>
      <c r="J127" s="89" t="s">
        <v>479</v>
      </c>
      <c r="K127" s="71" t="s">
        <v>130</v>
      </c>
      <c r="L127" s="80">
        <v>30.5</v>
      </c>
      <c r="M127" s="93"/>
      <c r="N127" s="128">
        <f t="shared" si="23"/>
        <v>30.5</v>
      </c>
      <c r="O127" s="128">
        <f t="shared" si="24"/>
        <v>30.5</v>
      </c>
      <c r="P127" s="129">
        <f t="shared" si="26"/>
        <v>0</v>
      </c>
    </row>
    <row r="128" spans="2:16" outlineLevel="1" x14ac:dyDescent="0.2">
      <c r="B128" s="120"/>
      <c r="C128" s="68"/>
      <c r="D128" s="68"/>
      <c r="E128" s="69"/>
      <c r="F128" s="68" t="s">
        <v>131</v>
      </c>
      <c r="G128" s="122">
        <f>G127</f>
        <v>0</v>
      </c>
      <c r="H128" s="78" t="s">
        <v>3</v>
      </c>
      <c r="I128" s="121"/>
      <c r="J128" s="89"/>
      <c r="K128" s="71" t="s">
        <v>129</v>
      </c>
      <c r="L128" s="80">
        <v>7.5</v>
      </c>
      <c r="M128" s="93"/>
      <c r="N128" s="128">
        <f t="shared" si="23"/>
        <v>7.5</v>
      </c>
      <c r="O128" s="128">
        <f t="shared" si="24"/>
        <v>7.5</v>
      </c>
      <c r="P128" s="129">
        <f t="shared" si="26"/>
        <v>0</v>
      </c>
    </row>
    <row r="129" spans="2:16" outlineLevel="1" x14ac:dyDescent="0.2">
      <c r="B129" s="120"/>
      <c r="C129" s="68"/>
      <c r="D129" s="68"/>
      <c r="E129" s="69"/>
      <c r="F129" s="68" t="s">
        <v>132</v>
      </c>
      <c r="G129" s="131">
        <v>0</v>
      </c>
      <c r="H129" s="78" t="s">
        <v>3</v>
      </c>
      <c r="I129" s="121"/>
      <c r="J129" s="89" t="s">
        <v>470</v>
      </c>
      <c r="K129" s="71" t="s">
        <v>133</v>
      </c>
      <c r="L129" s="80">
        <v>110</v>
      </c>
      <c r="M129" s="93"/>
      <c r="N129" s="128">
        <f t="shared" si="23"/>
        <v>110</v>
      </c>
      <c r="O129" s="128">
        <f t="shared" si="24"/>
        <v>110</v>
      </c>
      <c r="P129" s="129">
        <f t="shared" si="26"/>
        <v>0</v>
      </c>
    </row>
    <row r="130" spans="2:16" outlineLevel="1" x14ac:dyDescent="0.2">
      <c r="B130" s="120"/>
      <c r="C130" s="68"/>
      <c r="D130" s="68"/>
      <c r="E130" s="69"/>
      <c r="F130" s="68" t="s">
        <v>472</v>
      </c>
      <c r="G130" s="131">
        <v>0</v>
      </c>
      <c r="H130" s="78" t="s">
        <v>3</v>
      </c>
      <c r="I130" s="121"/>
      <c r="J130" s="89" t="s">
        <v>471</v>
      </c>
      <c r="K130" s="71" t="s">
        <v>142</v>
      </c>
      <c r="L130" s="80">
        <v>205</v>
      </c>
      <c r="M130" s="93"/>
      <c r="N130" s="128">
        <f t="shared" si="23"/>
        <v>205</v>
      </c>
      <c r="O130" s="128">
        <f t="shared" si="24"/>
        <v>205</v>
      </c>
      <c r="P130" s="129">
        <f t="shared" si="26"/>
        <v>0</v>
      </c>
    </row>
    <row r="131" spans="2:16" outlineLevel="1" x14ac:dyDescent="0.2">
      <c r="B131" s="120"/>
      <c r="C131" s="68"/>
      <c r="D131" s="68"/>
      <c r="E131" s="69"/>
      <c r="F131" s="68" t="s">
        <v>295</v>
      </c>
      <c r="G131" s="122">
        <f>G108*0.02*2+G110*1.5+G111*0.02*2+G112*0.005*1.5+G113*0.2/1000+G114*0.02*2+G115*0.02*2+G116*0.005*1.5+G117*0.2/1000+G118*0.01*2+G119*0.01*2+G120*0.2/1000+G121*0.02/1000+G122*0.01*1+G125*0.02*2+G126*0.02/1000+G127*0.02*2+G128*0.2/100+G129*0.02*2+G130*0.02*2</f>
        <v>0</v>
      </c>
      <c r="H131" s="78" t="s">
        <v>8</v>
      </c>
      <c r="I131" s="121"/>
      <c r="J131" s="89"/>
      <c r="K131" s="71"/>
      <c r="L131" s="80">
        <v>25</v>
      </c>
      <c r="M131" s="93"/>
      <c r="N131" s="128">
        <f t="shared" si="23"/>
        <v>25</v>
      </c>
      <c r="O131" s="128">
        <f t="shared" si="24"/>
        <v>25</v>
      </c>
      <c r="P131" s="129">
        <f t="shared" si="26"/>
        <v>0</v>
      </c>
    </row>
    <row r="132" spans="2:16" outlineLevel="1" x14ac:dyDescent="0.2">
      <c r="B132" s="120"/>
      <c r="C132" s="68"/>
      <c r="D132" s="68"/>
      <c r="E132" s="77" t="s">
        <v>143</v>
      </c>
      <c r="F132" s="68"/>
      <c r="G132" s="122"/>
      <c r="H132" s="123"/>
      <c r="I132" s="89"/>
      <c r="J132" s="89"/>
      <c r="K132" s="71"/>
      <c r="L132" s="80"/>
      <c r="M132" s="93"/>
      <c r="N132" s="128">
        <f t="shared" si="23"/>
        <v>0</v>
      </c>
      <c r="O132" s="121"/>
      <c r="P132" s="124"/>
    </row>
    <row r="133" spans="2:16" outlineLevel="1" x14ac:dyDescent="0.2">
      <c r="B133" s="120"/>
      <c r="C133" s="68"/>
      <c r="D133" s="68"/>
      <c r="E133" s="77"/>
      <c r="F133" s="68" t="s">
        <v>144</v>
      </c>
      <c r="G133" s="131">
        <v>0</v>
      </c>
      <c r="H133" s="78" t="s">
        <v>3</v>
      </c>
      <c r="I133" s="121"/>
      <c r="J133" s="89"/>
      <c r="K133" s="71" t="s">
        <v>145</v>
      </c>
      <c r="L133" s="80">
        <v>15</v>
      </c>
      <c r="M133" s="93"/>
      <c r="N133" s="128">
        <f t="shared" si="23"/>
        <v>15</v>
      </c>
      <c r="O133" s="128">
        <f t="shared" si="24"/>
        <v>15</v>
      </c>
      <c r="P133" s="129">
        <f t="shared" ref="P133:P138" si="27">G133*O133</f>
        <v>0</v>
      </c>
    </row>
    <row r="134" spans="2:16" outlineLevel="1" x14ac:dyDescent="0.2">
      <c r="B134" s="120"/>
      <c r="C134" s="68"/>
      <c r="D134" s="68"/>
      <c r="E134" s="77"/>
      <c r="F134" s="68" t="s">
        <v>146</v>
      </c>
      <c r="G134" s="131">
        <v>0</v>
      </c>
      <c r="H134" s="78" t="s">
        <v>3</v>
      </c>
      <c r="I134" s="121"/>
      <c r="J134" s="89"/>
      <c r="K134" s="71" t="s">
        <v>145</v>
      </c>
      <c r="L134" s="80">
        <v>15</v>
      </c>
      <c r="M134" s="93"/>
      <c r="N134" s="128">
        <f t="shared" si="23"/>
        <v>15</v>
      </c>
      <c r="O134" s="128">
        <f t="shared" si="24"/>
        <v>15</v>
      </c>
      <c r="P134" s="129">
        <f t="shared" si="27"/>
        <v>0</v>
      </c>
    </row>
    <row r="135" spans="2:16" outlineLevel="1" x14ac:dyDescent="0.2">
      <c r="B135" s="120"/>
      <c r="C135" s="68"/>
      <c r="D135" s="68"/>
      <c r="E135" s="77"/>
      <c r="F135" s="68" t="s">
        <v>468</v>
      </c>
      <c r="G135" s="131">
        <v>0</v>
      </c>
      <c r="H135" s="78" t="s">
        <v>3</v>
      </c>
      <c r="I135" s="121"/>
      <c r="J135" s="89"/>
      <c r="K135" s="71"/>
      <c r="L135" s="80">
        <v>614.5</v>
      </c>
      <c r="M135" s="93"/>
      <c r="N135" s="128">
        <f t="shared" si="23"/>
        <v>614.5</v>
      </c>
      <c r="O135" s="128">
        <f t="shared" si="24"/>
        <v>614.5</v>
      </c>
      <c r="P135" s="129">
        <f t="shared" si="27"/>
        <v>0</v>
      </c>
    </row>
    <row r="136" spans="2:16" outlineLevel="1" x14ac:dyDescent="0.2">
      <c r="B136" s="120"/>
      <c r="C136" s="68"/>
      <c r="D136" s="68"/>
      <c r="E136" s="77"/>
      <c r="F136" s="68" t="s">
        <v>467</v>
      </c>
      <c r="G136" s="212">
        <v>0</v>
      </c>
      <c r="H136" s="78" t="s">
        <v>3</v>
      </c>
      <c r="I136" s="121"/>
      <c r="J136" s="89"/>
      <c r="K136" s="71"/>
      <c r="L136" s="80">
        <v>516</v>
      </c>
      <c r="M136" s="93"/>
      <c r="N136" s="128">
        <f t="shared" si="23"/>
        <v>516</v>
      </c>
      <c r="O136" s="128">
        <f t="shared" si="24"/>
        <v>516</v>
      </c>
      <c r="P136" s="129">
        <f t="shared" si="27"/>
        <v>0</v>
      </c>
    </row>
    <row r="137" spans="2:16" outlineLevel="1" x14ac:dyDescent="0.2">
      <c r="B137" s="120"/>
      <c r="C137" s="68"/>
      <c r="D137" s="68"/>
      <c r="E137" s="77"/>
      <c r="F137" s="68" t="s">
        <v>466</v>
      </c>
      <c r="G137" s="212">
        <v>0</v>
      </c>
      <c r="H137" s="78" t="s">
        <v>3</v>
      </c>
      <c r="I137" s="121"/>
      <c r="J137" s="89"/>
      <c r="K137" s="71"/>
      <c r="L137" s="80">
        <v>644.79999999999995</v>
      </c>
      <c r="M137" s="93"/>
      <c r="N137" s="128">
        <f t="shared" si="23"/>
        <v>644.79999999999995</v>
      </c>
      <c r="O137" s="128">
        <f t="shared" si="24"/>
        <v>644.79999999999995</v>
      </c>
      <c r="P137" s="129">
        <f t="shared" si="27"/>
        <v>0</v>
      </c>
    </row>
    <row r="138" spans="2:16" outlineLevel="1" x14ac:dyDescent="0.2">
      <c r="B138" s="120"/>
      <c r="C138" s="68"/>
      <c r="D138" s="68"/>
      <c r="E138" s="77"/>
      <c r="F138" s="68" t="s">
        <v>295</v>
      </c>
      <c r="G138" s="122">
        <f>3*SUM(G133:G137)/1000</f>
        <v>0</v>
      </c>
      <c r="H138" s="78" t="s">
        <v>8</v>
      </c>
      <c r="I138" s="121"/>
      <c r="J138" s="89"/>
      <c r="K138" s="71"/>
      <c r="L138" s="80">
        <v>25</v>
      </c>
      <c r="M138" s="93"/>
      <c r="N138" s="128">
        <f t="shared" si="23"/>
        <v>25</v>
      </c>
      <c r="O138" s="128">
        <f t="shared" si="24"/>
        <v>25</v>
      </c>
      <c r="P138" s="129">
        <f t="shared" si="27"/>
        <v>0</v>
      </c>
    </row>
    <row r="139" spans="2:16" outlineLevel="1" x14ac:dyDescent="0.2">
      <c r="B139" s="120"/>
      <c r="C139" s="68"/>
      <c r="D139" s="68"/>
      <c r="E139" s="77" t="s">
        <v>581</v>
      </c>
      <c r="F139" s="68"/>
      <c r="G139" s="122"/>
      <c r="H139" s="78"/>
      <c r="I139" s="121"/>
      <c r="J139" s="89"/>
      <c r="K139" s="71"/>
      <c r="L139" s="80"/>
      <c r="M139" s="93"/>
      <c r="N139" s="128"/>
      <c r="O139" s="128"/>
      <c r="P139" s="129"/>
    </row>
    <row r="140" spans="2:16" outlineLevel="1" x14ac:dyDescent="0.2">
      <c r="B140" s="120"/>
      <c r="C140" s="68"/>
      <c r="D140" s="68"/>
      <c r="E140" s="77"/>
      <c r="F140" s="68" t="s">
        <v>583</v>
      </c>
      <c r="G140" s="212">
        <v>0</v>
      </c>
      <c r="H140" s="78" t="s">
        <v>3</v>
      </c>
      <c r="I140" s="121"/>
      <c r="J140" s="89"/>
      <c r="K140" s="71" t="s">
        <v>587</v>
      </c>
      <c r="L140" s="80">
        <v>6.25</v>
      </c>
      <c r="M140" s="93"/>
      <c r="N140" s="128">
        <f>L140*M$88</f>
        <v>6.25</v>
      </c>
      <c r="O140" s="128">
        <f t="shared" ref="O140:O144" si="28">N140</f>
        <v>6.25</v>
      </c>
      <c r="P140" s="129">
        <f t="shared" ref="P140:P144" si="29">G140*O140</f>
        <v>0</v>
      </c>
    </row>
    <row r="141" spans="2:16" outlineLevel="1" x14ac:dyDescent="0.2">
      <c r="B141" s="120"/>
      <c r="C141" s="68"/>
      <c r="D141" s="68"/>
      <c r="E141" s="77"/>
      <c r="F141" s="68" t="s">
        <v>584</v>
      </c>
      <c r="G141" s="212">
        <v>0</v>
      </c>
      <c r="H141" s="78" t="s">
        <v>3</v>
      </c>
      <c r="I141" s="121"/>
      <c r="J141" s="89"/>
      <c r="K141" s="71" t="s">
        <v>588</v>
      </c>
      <c r="L141" s="80">
        <v>9.36</v>
      </c>
      <c r="M141" s="93"/>
      <c r="N141" s="128">
        <f>L141*M$88</f>
        <v>9.36</v>
      </c>
      <c r="O141" s="128">
        <f t="shared" si="28"/>
        <v>9.36</v>
      </c>
      <c r="P141" s="129">
        <f t="shared" si="29"/>
        <v>0</v>
      </c>
    </row>
    <row r="142" spans="2:16" outlineLevel="1" x14ac:dyDescent="0.2">
      <c r="B142" s="120"/>
      <c r="C142" s="68"/>
      <c r="D142" s="68"/>
      <c r="E142" s="77"/>
      <c r="F142" s="68" t="s">
        <v>585</v>
      </c>
      <c r="G142" s="212">
        <v>0</v>
      </c>
      <c r="H142" s="78" t="s">
        <v>3</v>
      </c>
      <c r="I142" s="121"/>
      <c r="J142" s="89"/>
      <c r="K142" s="71" t="s">
        <v>589</v>
      </c>
      <c r="L142" s="80">
        <v>85.32</v>
      </c>
      <c r="M142" s="93"/>
      <c r="N142" s="128">
        <f>L142*M$88</f>
        <v>85.32</v>
      </c>
      <c r="O142" s="128">
        <f t="shared" si="28"/>
        <v>85.32</v>
      </c>
      <c r="P142" s="129">
        <f t="shared" si="29"/>
        <v>0</v>
      </c>
    </row>
    <row r="143" spans="2:16" outlineLevel="1" x14ac:dyDescent="0.2">
      <c r="B143" s="120"/>
      <c r="C143" s="68"/>
      <c r="D143" s="68"/>
      <c r="E143" s="77"/>
      <c r="F143" s="68" t="s">
        <v>582</v>
      </c>
      <c r="G143" s="212">
        <v>0</v>
      </c>
      <c r="H143" s="78" t="s">
        <v>3</v>
      </c>
      <c r="I143" s="121"/>
      <c r="J143" s="89"/>
      <c r="K143" s="71" t="s">
        <v>590</v>
      </c>
      <c r="L143" s="80">
        <v>71.86</v>
      </c>
      <c r="M143" s="93"/>
      <c r="N143" s="128">
        <f t="shared" ref="N143:N144" si="30">L143*M$88</f>
        <v>71.86</v>
      </c>
      <c r="O143" s="128">
        <f t="shared" si="28"/>
        <v>71.86</v>
      </c>
      <c r="P143" s="129">
        <f t="shared" si="29"/>
        <v>0</v>
      </c>
    </row>
    <row r="144" spans="2:16" outlineLevel="1" x14ac:dyDescent="0.2">
      <c r="B144" s="120"/>
      <c r="C144" s="68"/>
      <c r="D144" s="68"/>
      <c r="E144" s="77"/>
      <c r="F144" s="68" t="s">
        <v>295</v>
      </c>
      <c r="G144" s="92">
        <f>G142*0.02*1.5+G141*0.1*1.5</f>
        <v>0</v>
      </c>
      <c r="H144" s="78" t="s">
        <v>8</v>
      </c>
      <c r="I144" s="121"/>
      <c r="J144" s="89"/>
      <c r="K144" s="71"/>
      <c r="L144" s="80">
        <v>25</v>
      </c>
      <c r="M144" s="93"/>
      <c r="N144" s="128">
        <f t="shared" si="30"/>
        <v>25</v>
      </c>
      <c r="O144" s="128">
        <f t="shared" si="28"/>
        <v>25</v>
      </c>
      <c r="P144" s="129">
        <f t="shared" si="29"/>
        <v>0</v>
      </c>
    </row>
    <row r="145" spans="1:16" outlineLevel="1" x14ac:dyDescent="0.2">
      <c r="B145" s="120"/>
      <c r="C145" s="68"/>
      <c r="D145" s="68"/>
      <c r="E145" s="77" t="s">
        <v>147</v>
      </c>
      <c r="F145" s="68"/>
      <c r="G145" s="122"/>
      <c r="H145" s="123"/>
      <c r="I145" s="89"/>
      <c r="J145" s="89"/>
      <c r="K145" s="71"/>
      <c r="L145" s="80"/>
      <c r="M145" s="93"/>
      <c r="N145" s="128"/>
      <c r="O145" s="121"/>
      <c r="P145" s="124"/>
    </row>
    <row r="146" spans="1:16" outlineLevel="1" x14ac:dyDescent="0.2">
      <c r="B146" s="120"/>
      <c r="C146" s="68"/>
      <c r="D146" s="68"/>
      <c r="E146" s="77"/>
      <c r="F146" s="68" t="s">
        <v>450</v>
      </c>
      <c r="G146" s="131">
        <v>0</v>
      </c>
      <c r="H146" s="78" t="s">
        <v>3</v>
      </c>
      <c r="I146" s="93">
        <v>0.05</v>
      </c>
      <c r="J146" s="93"/>
      <c r="K146" s="71" t="s">
        <v>92</v>
      </c>
      <c r="L146" s="80">
        <v>12.5</v>
      </c>
      <c r="M146" s="93"/>
      <c r="N146" s="128">
        <f t="shared" ref="N146:N157" si="31">L146*M$88</f>
        <v>12.5</v>
      </c>
      <c r="O146" s="128">
        <f t="shared" si="24"/>
        <v>12.5</v>
      </c>
      <c r="P146" s="129">
        <f t="shared" ref="P146:P157" si="32">G146*O146</f>
        <v>0</v>
      </c>
    </row>
    <row r="147" spans="1:16" outlineLevel="1" x14ac:dyDescent="0.2">
      <c r="B147" s="120"/>
      <c r="C147" s="68"/>
      <c r="D147" s="68"/>
      <c r="E147" s="77"/>
      <c r="F147" s="68" t="s">
        <v>478</v>
      </c>
      <c r="G147" s="131">
        <v>0</v>
      </c>
      <c r="H147" s="78" t="s">
        <v>3</v>
      </c>
      <c r="I147" s="89"/>
      <c r="J147" s="89"/>
      <c r="K147" s="71" t="s">
        <v>125</v>
      </c>
      <c r="L147" s="80">
        <v>21.9</v>
      </c>
      <c r="M147" s="93"/>
      <c r="N147" s="128">
        <f t="shared" si="31"/>
        <v>21.9</v>
      </c>
      <c r="O147" s="128">
        <f t="shared" si="24"/>
        <v>21.9</v>
      </c>
      <c r="P147" s="129">
        <f t="shared" si="32"/>
        <v>0</v>
      </c>
    </row>
    <row r="148" spans="1:16" outlineLevel="1" x14ac:dyDescent="0.2">
      <c r="B148" s="120"/>
      <c r="C148" s="68"/>
      <c r="D148" s="68"/>
      <c r="E148" s="77"/>
      <c r="F148" s="68" t="s">
        <v>458</v>
      </c>
      <c r="G148" s="131">
        <v>0</v>
      </c>
      <c r="H148" s="78" t="s">
        <v>3</v>
      </c>
      <c r="I148" s="121"/>
      <c r="J148" s="89"/>
      <c r="K148" s="71" t="s">
        <v>148</v>
      </c>
      <c r="L148" s="80">
        <v>28.25</v>
      </c>
      <c r="M148" s="93"/>
      <c r="N148" s="128">
        <f t="shared" si="31"/>
        <v>28.25</v>
      </c>
      <c r="O148" s="128">
        <f t="shared" si="24"/>
        <v>28.25</v>
      </c>
      <c r="P148" s="129">
        <f t="shared" si="32"/>
        <v>0</v>
      </c>
    </row>
    <row r="149" spans="1:16" outlineLevel="1" x14ac:dyDescent="0.2">
      <c r="B149" s="120"/>
      <c r="C149" s="68"/>
      <c r="D149" s="68"/>
      <c r="E149" s="77"/>
      <c r="F149" s="68" t="s">
        <v>482</v>
      </c>
      <c r="G149" s="131">
        <v>0</v>
      </c>
      <c r="H149" s="78" t="s">
        <v>3</v>
      </c>
      <c r="I149" s="89"/>
      <c r="J149" s="89" t="s">
        <v>481</v>
      </c>
      <c r="K149" s="71"/>
      <c r="L149" s="80">
        <v>27.6</v>
      </c>
      <c r="M149" s="93"/>
      <c r="N149" s="128">
        <f t="shared" si="31"/>
        <v>27.6</v>
      </c>
      <c r="O149" s="128">
        <f t="shared" si="24"/>
        <v>27.6</v>
      </c>
      <c r="P149" s="129">
        <f t="shared" si="32"/>
        <v>0</v>
      </c>
    </row>
    <row r="150" spans="1:16" outlineLevel="1" x14ac:dyDescent="0.2">
      <c r="B150" s="120"/>
      <c r="C150" s="68"/>
      <c r="D150" s="68"/>
      <c r="E150" s="77"/>
      <c r="F150" s="68" t="s">
        <v>469</v>
      </c>
      <c r="G150" s="131">
        <v>0</v>
      </c>
      <c r="H150" s="78" t="s">
        <v>3</v>
      </c>
      <c r="I150" s="121"/>
      <c r="J150" s="89"/>
      <c r="K150" s="71" t="s">
        <v>149</v>
      </c>
      <c r="L150" s="80">
        <v>126</v>
      </c>
      <c r="M150" s="93"/>
      <c r="N150" s="128">
        <f t="shared" si="31"/>
        <v>126</v>
      </c>
      <c r="O150" s="128">
        <f t="shared" si="24"/>
        <v>126</v>
      </c>
      <c r="P150" s="129">
        <f t="shared" si="32"/>
        <v>0</v>
      </c>
    </row>
    <row r="151" spans="1:16" outlineLevel="1" x14ac:dyDescent="0.2">
      <c r="B151" s="120"/>
      <c r="C151" s="68"/>
      <c r="D151" s="68"/>
      <c r="E151" s="77"/>
      <c r="F151" s="68" t="s">
        <v>957</v>
      </c>
      <c r="G151" s="131">
        <v>0</v>
      </c>
      <c r="H151" s="78" t="s">
        <v>75</v>
      </c>
      <c r="I151" s="121"/>
      <c r="J151" s="89"/>
      <c r="K151" s="71"/>
      <c r="L151" s="80">
        <v>7.5</v>
      </c>
      <c r="M151" s="93"/>
      <c r="N151" s="128">
        <f t="shared" si="31"/>
        <v>7.5</v>
      </c>
      <c r="O151" s="128">
        <f t="shared" si="24"/>
        <v>7.5</v>
      </c>
      <c r="P151" s="129">
        <f t="shared" si="32"/>
        <v>0</v>
      </c>
    </row>
    <row r="152" spans="1:16" outlineLevel="1" x14ac:dyDescent="0.2">
      <c r="B152" s="120"/>
      <c r="C152" s="68"/>
      <c r="D152" s="68"/>
      <c r="E152" s="77"/>
      <c r="F152" s="68" t="s">
        <v>958</v>
      </c>
      <c r="G152" s="122">
        <f>G151</f>
        <v>0</v>
      </c>
      <c r="H152" s="78" t="s">
        <v>75</v>
      </c>
      <c r="I152" s="121"/>
      <c r="J152" s="89"/>
      <c r="K152" s="71"/>
      <c r="L152" s="80">
        <v>27.5</v>
      </c>
      <c r="M152" s="93"/>
      <c r="N152" s="128">
        <f t="shared" si="31"/>
        <v>27.5</v>
      </c>
      <c r="O152" s="128">
        <f t="shared" si="24"/>
        <v>27.5</v>
      </c>
      <c r="P152" s="129">
        <f t="shared" si="32"/>
        <v>0</v>
      </c>
    </row>
    <row r="153" spans="1:16" outlineLevel="1" x14ac:dyDescent="0.2">
      <c r="B153" s="120"/>
      <c r="C153" s="68"/>
      <c r="D153" s="68"/>
      <c r="E153" s="77"/>
      <c r="F153" s="68" t="s">
        <v>959</v>
      </c>
      <c r="G153" s="131">
        <v>0</v>
      </c>
      <c r="H153" s="78" t="s">
        <v>3</v>
      </c>
      <c r="I153" s="121"/>
      <c r="J153" s="89"/>
      <c r="K153" s="71"/>
      <c r="L153" s="80">
        <v>7.5</v>
      </c>
      <c r="M153" s="93"/>
      <c r="N153" s="128">
        <f t="shared" si="31"/>
        <v>7.5</v>
      </c>
      <c r="O153" s="128">
        <f t="shared" si="24"/>
        <v>7.5</v>
      </c>
      <c r="P153" s="129">
        <f t="shared" si="32"/>
        <v>0</v>
      </c>
    </row>
    <row r="154" spans="1:16" outlineLevel="1" x14ac:dyDescent="0.2">
      <c r="B154" s="120"/>
      <c r="C154" s="68"/>
      <c r="D154" s="68"/>
      <c r="E154" s="77"/>
      <c r="F154" s="68" t="s">
        <v>960</v>
      </c>
      <c r="G154" s="122">
        <f>G153</f>
        <v>0</v>
      </c>
      <c r="H154" s="78" t="s">
        <v>3</v>
      </c>
      <c r="I154" s="121"/>
      <c r="J154" s="89"/>
      <c r="K154" s="71"/>
      <c r="L154" s="80">
        <v>17.5</v>
      </c>
      <c r="M154" s="93"/>
      <c r="N154" s="128">
        <f t="shared" si="31"/>
        <v>17.5</v>
      </c>
      <c r="O154" s="128">
        <f t="shared" si="24"/>
        <v>17.5</v>
      </c>
      <c r="P154" s="129">
        <f t="shared" si="32"/>
        <v>0</v>
      </c>
    </row>
    <row r="155" spans="1:16" outlineLevel="1" x14ac:dyDescent="0.2">
      <c r="B155" s="120"/>
      <c r="C155" s="68"/>
      <c r="D155" s="68"/>
      <c r="E155" s="77"/>
      <c r="F155" s="68" t="s">
        <v>474</v>
      </c>
      <c r="G155" s="131">
        <v>0</v>
      </c>
      <c r="H155" s="78" t="s">
        <v>3</v>
      </c>
      <c r="I155" s="121"/>
      <c r="J155" s="89" t="s">
        <v>473</v>
      </c>
      <c r="K155" s="71"/>
      <c r="L155" s="80">
        <v>15</v>
      </c>
      <c r="M155" s="93"/>
      <c r="N155" s="128">
        <f t="shared" si="31"/>
        <v>15</v>
      </c>
      <c r="O155" s="128">
        <f t="shared" si="24"/>
        <v>15</v>
      </c>
      <c r="P155" s="129">
        <f t="shared" si="32"/>
        <v>0</v>
      </c>
    </row>
    <row r="156" spans="1:16" outlineLevel="1" x14ac:dyDescent="0.2">
      <c r="B156" s="120"/>
      <c r="C156" s="68"/>
      <c r="D156" s="68"/>
      <c r="E156" s="77"/>
      <c r="F156" s="68" t="s">
        <v>150</v>
      </c>
      <c r="G156" s="131">
        <v>0</v>
      </c>
      <c r="H156" s="78" t="s">
        <v>3</v>
      </c>
      <c r="I156" s="121"/>
      <c r="J156" s="89"/>
      <c r="K156" s="71"/>
      <c r="L156" s="80">
        <v>17.5</v>
      </c>
      <c r="M156" s="93"/>
      <c r="N156" s="128">
        <f t="shared" si="31"/>
        <v>17.5</v>
      </c>
      <c r="O156" s="128">
        <f t="shared" si="24"/>
        <v>17.5</v>
      </c>
      <c r="P156" s="129">
        <f t="shared" si="32"/>
        <v>0</v>
      </c>
    </row>
    <row r="157" spans="1:16" outlineLevel="1" x14ac:dyDescent="0.2">
      <c r="B157" s="120"/>
      <c r="C157" s="68"/>
      <c r="D157" s="68"/>
      <c r="E157" s="77"/>
      <c r="F157" s="68" t="s">
        <v>295</v>
      </c>
      <c r="G157" s="122">
        <f>G147*0.025*2+G148*0.025*1.9+G149*0.005*1.75+G150*0.015*1.9</f>
        <v>0</v>
      </c>
      <c r="H157" s="78" t="s">
        <v>8</v>
      </c>
      <c r="I157" s="121"/>
      <c r="J157" s="89"/>
      <c r="K157" s="71"/>
      <c r="L157" s="80">
        <v>25</v>
      </c>
      <c r="M157" s="93"/>
      <c r="N157" s="128">
        <f t="shared" si="31"/>
        <v>25</v>
      </c>
      <c r="O157" s="128">
        <f t="shared" si="24"/>
        <v>25</v>
      </c>
      <c r="P157" s="129">
        <f t="shared" si="32"/>
        <v>0</v>
      </c>
    </row>
    <row r="158" spans="1:16" s="153" customFormat="1" ht="15" x14ac:dyDescent="0.35">
      <c r="A158" s="172"/>
      <c r="B158" s="145"/>
      <c r="C158" s="74"/>
      <c r="D158" s="154" t="s">
        <v>99</v>
      </c>
      <c r="E158" s="108"/>
      <c r="F158" s="155"/>
      <c r="G158" s="156"/>
      <c r="H158" s="157"/>
      <c r="I158" s="176"/>
      <c r="J158" s="176"/>
      <c r="K158" s="159"/>
      <c r="L158" s="160"/>
      <c r="M158" s="161">
        <v>1</v>
      </c>
      <c r="N158" s="158"/>
      <c r="O158" s="158"/>
      <c r="P158" s="125">
        <f>SUM(P159:P171)</f>
        <v>0</v>
      </c>
    </row>
    <row r="159" spans="1:16" outlineLevel="1" x14ac:dyDescent="0.2">
      <c r="B159" s="120"/>
      <c r="C159" s="68"/>
      <c r="D159" s="68"/>
      <c r="E159" s="77" t="s">
        <v>100</v>
      </c>
      <c r="F159" s="68"/>
      <c r="G159" s="122"/>
      <c r="H159" s="81"/>
      <c r="I159" s="89"/>
      <c r="J159" s="89"/>
      <c r="K159" s="71"/>
      <c r="L159" s="80"/>
      <c r="M159" s="93"/>
      <c r="N159" s="121"/>
      <c r="O159" s="121"/>
      <c r="P159" s="124"/>
    </row>
    <row r="160" spans="1:16" outlineLevel="1" x14ac:dyDescent="0.2">
      <c r="B160" s="120"/>
      <c r="C160" s="68"/>
      <c r="D160" s="68"/>
      <c r="E160" s="77"/>
      <c r="F160" s="68" t="s">
        <v>440</v>
      </c>
      <c r="G160" s="131">
        <v>0</v>
      </c>
      <c r="H160" s="78" t="s">
        <v>3</v>
      </c>
      <c r="I160" s="121"/>
      <c r="J160" s="89"/>
      <c r="K160" s="71" t="s">
        <v>101</v>
      </c>
      <c r="L160" s="80">
        <v>40</v>
      </c>
      <c r="M160" s="93"/>
      <c r="N160" s="128">
        <f>L160*M$158</f>
        <v>40</v>
      </c>
      <c r="O160" s="128">
        <f t="shared" ref="O160:O164" si="33">N160</f>
        <v>40</v>
      </c>
      <c r="P160" s="129">
        <f>G160*O160</f>
        <v>0</v>
      </c>
    </row>
    <row r="161" spans="1:16" outlineLevel="1" x14ac:dyDescent="0.2">
      <c r="B161" s="120"/>
      <c r="C161" s="68"/>
      <c r="D161" s="68"/>
      <c r="E161" s="77"/>
      <c r="F161" s="68" t="s">
        <v>295</v>
      </c>
      <c r="G161" s="122">
        <f>G160*10/1000</f>
        <v>0</v>
      </c>
      <c r="H161" s="78" t="s">
        <v>8</v>
      </c>
      <c r="I161" s="121"/>
      <c r="J161" s="89"/>
      <c r="K161" s="71"/>
      <c r="L161" s="80">
        <v>25</v>
      </c>
      <c r="M161" s="93"/>
      <c r="N161" s="128">
        <f t="shared" ref="N161:N171" si="34">L161*M$158</f>
        <v>25</v>
      </c>
      <c r="O161" s="128">
        <f t="shared" si="33"/>
        <v>25</v>
      </c>
      <c r="P161" s="129">
        <f>G161*O161</f>
        <v>0</v>
      </c>
    </row>
    <row r="162" spans="1:16" outlineLevel="1" x14ac:dyDescent="0.2">
      <c r="B162" s="120"/>
      <c r="C162" s="68"/>
      <c r="D162" s="68"/>
      <c r="E162" s="77" t="s">
        <v>102</v>
      </c>
      <c r="F162" s="68"/>
      <c r="G162" s="122"/>
      <c r="H162" s="123"/>
      <c r="I162" s="89"/>
      <c r="J162" s="89"/>
      <c r="K162" s="71"/>
      <c r="L162" s="80"/>
      <c r="M162" s="93"/>
      <c r="N162" s="128">
        <f t="shared" si="34"/>
        <v>0</v>
      </c>
      <c r="O162" s="121"/>
      <c r="P162" s="124"/>
    </row>
    <row r="163" spans="1:16" outlineLevel="1" x14ac:dyDescent="0.2">
      <c r="B163" s="120"/>
      <c r="C163" s="68"/>
      <c r="D163" s="68"/>
      <c r="E163" s="77"/>
      <c r="F163" s="68" t="s">
        <v>477</v>
      </c>
      <c r="G163" s="131">
        <v>0</v>
      </c>
      <c r="H163" s="78" t="s">
        <v>3</v>
      </c>
      <c r="I163" s="121"/>
      <c r="J163" s="89"/>
      <c r="K163" s="71" t="s">
        <v>103</v>
      </c>
      <c r="L163" s="80">
        <v>33</v>
      </c>
      <c r="M163" s="93"/>
      <c r="N163" s="128">
        <f t="shared" si="34"/>
        <v>33</v>
      </c>
      <c r="O163" s="128">
        <f t="shared" si="33"/>
        <v>33</v>
      </c>
      <c r="P163" s="129">
        <f>G163*O163</f>
        <v>0</v>
      </c>
    </row>
    <row r="164" spans="1:16" outlineLevel="1" x14ac:dyDescent="0.2">
      <c r="B164" s="120"/>
      <c r="C164" s="68"/>
      <c r="D164" s="68"/>
      <c r="E164" s="77"/>
      <c r="F164" s="68" t="s">
        <v>295</v>
      </c>
      <c r="G164" s="122">
        <f>G163*0.035*2</f>
        <v>0</v>
      </c>
      <c r="H164" s="78" t="s">
        <v>8</v>
      </c>
      <c r="I164" s="121"/>
      <c r="J164" s="89"/>
      <c r="K164" s="71"/>
      <c r="L164" s="80">
        <v>25</v>
      </c>
      <c r="M164" s="93"/>
      <c r="N164" s="128">
        <f t="shared" si="34"/>
        <v>25</v>
      </c>
      <c r="O164" s="128">
        <f t="shared" si="33"/>
        <v>25</v>
      </c>
      <c r="P164" s="129">
        <f>G164*O164</f>
        <v>0</v>
      </c>
    </row>
    <row r="165" spans="1:16" outlineLevel="1" x14ac:dyDescent="0.2">
      <c r="B165" s="120"/>
      <c r="C165" s="68"/>
      <c r="D165" s="68"/>
      <c r="E165" s="77" t="s">
        <v>593</v>
      </c>
      <c r="F165" s="68"/>
      <c r="G165" s="122"/>
      <c r="H165" s="78"/>
      <c r="I165" s="121"/>
      <c r="J165" s="89"/>
      <c r="K165" s="71"/>
      <c r="L165" s="80"/>
      <c r="M165" s="93"/>
      <c r="N165" s="128"/>
      <c r="O165" s="128"/>
      <c r="P165" s="129"/>
    </row>
    <row r="166" spans="1:16" outlineLevel="1" x14ac:dyDescent="0.2">
      <c r="B166" s="120"/>
      <c r="C166" s="68"/>
      <c r="D166" s="68"/>
      <c r="E166" s="77"/>
      <c r="F166" s="68" t="s">
        <v>594</v>
      </c>
      <c r="G166" s="131">
        <v>0</v>
      </c>
      <c r="H166" s="78" t="s">
        <v>3</v>
      </c>
      <c r="I166" s="121"/>
      <c r="J166" s="89"/>
      <c r="K166" s="71"/>
      <c r="L166" s="80">
        <v>40</v>
      </c>
      <c r="M166" s="93"/>
      <c r="N166" s="128">
        <f>L166*M158</f>
        <v>40</v>
      </c>
      <c r="O166" s="128">
        <f t="shared" ref="O166:O168" si="35">N166</f>
        <v>40</v>
      </c>
      <c r="P166" s="129">
        <f>G166*O166</f>
        <v>0</v>
      </c>
    </row>
    <row r="167" spans="1:16" outlineLevel="1" x14ac:dyDescent="0.2">
      <c r="B167" s="120"/>
      <c r="C167" s="68"/>
      <c r="D167" s="68"/>
      <c r="E167" s="77"/>
      <c r="F167" s="68" t="s">
        <v>477</v>
      </c>
      <c r="G167" s="122">
        <f>G166</f>
        <v>0</v>
      </c>
      <c r="H167" s="78" t="s">
        <v>3</v>
      </c>
      <c r="I167" s="121"/>
      <c r="J167" s="89"/>
      <c r="K167" s="71" t="s">
        <v>103</v>
      </c>
      <c r="L167" s="80">
        <v>33</v>
      </c>
      <c r="M167" s="93"/>
      <c r="N167" s="128">
        <f>L167*M158</f>
        <v>33</v>
      </c>
      <c r="O167" s="128">
        <f t="shared" si="35"/>
        <v>33</v>
      </c>
      <c r="P167" s="129">
        <f>G167*O167</f>
        <v>0</v>
      </c>
    </row>
    <row r="168" spans="1:16" outlineLevel="1" x14ac:dyDescent="0.2">
      <c r="B168" s="120"/>
      <c r="C168" s="68"/>
      <c r="D168" s="68"/>
      <c r="E168" s="77"/>
      <c r="F168" s="68" t="s">
        <v>295</v>
      </c>
      <c r="G168" s="122">
        <f>G167*0.035*2+G166*2.5/1000</f>
        <v>0</v>
      </c>
      <c r="H168" s="78" t="s">
        <v>8</v>
      </c>
      <c r="I168" s="121"/>
      <c r="J168" s="89"/>
      <c r="K168" s="71"/>
      <c r="L168" s="80">
        <v>25</v>
      </c>
      <c r="M168" s="93"/>
      <c r="N168" s="128">
        <f>L168*M158</f>
        <v>25</v>
      </c>
      <c r="O168" s="128">
        <f t="shared" si="35"/>
        <v>25</v>
      </c>
      <c r="P168" s="129">
        <f>G168*O168</f>
        <v>0</v>
      </c>
    </row>
    <row r="169" spans="1:16" outlineLevel="1" x14ac:dyDescent="0.2">
      <c r="B169" s="120"/>
      <c r="C169" s="68"/>
      <c r="D169" s="68"/>
      <c r="E169" s="77" t="s">
        <v>278</v>
      </c>
      <c r="F169" s="68"/>
      <c r="G169" s="122"/>
      <c r="H169" s="123"/>
      <c r="I169" s="89"/>
      <c r="J169" s="89"/>
      <c r="K169" s="71"/>
      <c r="L169" s="127"/>
      <c r="M169" s="93"/>
      <c r="N169" s="128">
        <f t="shared" si="34"/>
        <v>0</v>
      </c>
      <c r="O169" s="121"/>
      <c r="P169" s="124"/>
    </row>
    <row r="170" spans="1:16" outlineLevel="1" x14ac:dyDescent="0.2">
      <c r="B170" s="120"/>
      <c r="C170" s="68"/>
      <c r="D170" s="68"/>
      <c r="E170" s="77"/>
      <c r="F170" s="68" t="s">
        <v>496</v>
      </c>
      <c r="G170" s="122">
        <f>G149+G150</f>
        <v>0</v>
      </c>
      <c r="H170" s="78" t="s">
        <v>3</v>
      </c>
      <c r="I170" s="121"/>
      <c r="J170" s="89"/>
      <c r="K170" s="71" t="s">
        <v>279</v>
      </c>
      <c r="L170" s="127">
        <v>122.8</v>
      </c>
      <c r="M170" s="93"/>
      <c r="N170" s="128">
        <f t="shared" si="34"/>
        <v>122.8</v>
      </c>
      <c r="O170" s="128">
        <f t="shared" ref="O170:O171" si="36">N170</f>
        <v>122.8</v>
      </c>
      <c r="P170" s="129">
        <f>G170*O170</f>
        <v>0</v>
      </c>
    </row>
    <row r="171" spans="1:16" outlineLevel="1" x14ac:dyDescent="0.2">
      <c r="B171" s="120"/>
      <c r="C171" s="68"/>
      <c r="D171" s="68"/>
      <c r="E171" s="77"/>
      <c r="F171" s="68" t="s">
        <v>295</v>
      </c>
      <c r="G171" s="122">
        <f>G170*5/1000</f>
        <v>0</v>
      </c>
      <c r="H171" s="78" t="s">
        <v>8</v>
      </c>
      <c r="I171" s="121"/>
      <c r="J171" s="89"/>
      <c r="K171" s="71"/>
      <c r="L171" s="127">
        <v>25</v>
      </c>
      <c r="M171" s="93"/>
      <c r="N171" s="128">
        <f t="shared" si="34"/>
        <v>25</v>
      </c>
      <c r="O171" s="128">
        <f t="shared" si="36"/>
        <v>25</v>
      </c>
      <c r="P171" s="129">
        <f>G171*O171</f>
        <v>0</v>
      </c>
    </row>
    <row r="172" spans="1:16" s="153" customFormat="1" ht="15" x14ac:dyDescent="0.35">
      <c r="A172" s="172"/>
      <c r="B172" s="145"/>
      <c r="C172" s="74"/>
      <c r="D172" s="154" t="s">
        <v>420</v>
      </c>
      <c r="E172" s="108"/>
      <c r="F172" s="155"/>
      <c r="G172" s="156"/>
      <c r="H172" s="157"/>
      <c r="I172" s="176"/>
      <c r="J172" s="176"/>
      <c r="K172" s="159"/>
      <c r="L172" s="160"/>
      <c r="M172" s="161"/>
      <c r="N172" s="158"/>
      <c r="O172" s="158"/>
      <c r="P172" s="125">
        <f>P173+P261</f>
        <v>0</v>
      </c>
    </row>
    <row r="173" spans="1:16" s="153" customFormat="1" ht="15" x14ac:dyDescent="0.35">
      <c r="A173" s="172"/>
      <c r="B173" s="145"/>
      <c r="C173" s="74"/>
      <c r="D173" s="74"/>
      <c r="E173" s="107" t="s">
        <v>104</v>
      </c>
      <c r="F173" s="162"/>
      <c r="G173" s="163"/>
      <c r="H173" s="164"/>
      <c r="I173" s="177"/>
      <c r="J173" s="177"/>
      <c r="K173" s="149"/>
      <c r="L173" s="165"/>
      <c r="M173" s="151">
        <v>1</v>
      </c>
      <c r="N173" s="148"/>
      <c r="O173" s="148"/>
      <c r="P173" s="126">
        <f>SUM(P174:P260)</f>
        <v>0</v>
      </c>
    </row>
    <row r="174" spans="1:16" outlineLevel="1" x14ac:dyDescent="0.2">
      <c r="B174" s="120"/>
      <c r="C174" s="68"/>
      <c r="D174" s="68"/>
      <c r="E174" s="77" t="s">
        <v>151</v>
      </c>
      <c r="F174" s="68"/>
      <c r="G174" s="122"/>
      <c r="H174" s="123"/>
      <c r="I174" s="89"/>
      <c r="J174" s="89"/>
      <c r="K174" s="71"/>
      <c r="L174" s="80"/>
      <c r="M174" s="93"/>
      <c r="N174" s="121"/>
      <c r="O174" s="121"/>
      <c r="P174" s="124"/>
    </row>
    <row r="175" spans="1:16" outlineLevel="1" x14ac:dyDescent="0.2">
      <c r="B175" s="120"/>
      <c r="C175" s="68"/>
      <c r="D175" s="68"/>
      <c r="E175" s="77"/>
      <c r="F175" s="68" t="s">
        <v>486</v>
      </c>
      <c r="G175" s="131">
        <v>0</v>
      </c>
      <c r="H175" s="78" t="s">
        <v>4</v>
      </c>
      <c r="I175" s="121"/>
      <c r="J175" s="89"/>
      <c r="K175" s="71" t="s">
        <v>485</v>
      </c>
      <c r="L175" s="80">
        <v>31.9</v>
      </c>
      <c r="M175" s="93"/>
      <c r="N175" s="128">
        <f>L175*M$173</f>
        <v>31.9</v>
      </c>
      <c r="O175" s="128">
        <f t="shared" ref="O175:O232" si="37">N175</f>
        <v>31.9</v>
      </c>
      <c r="P175" s="129">
        <f t="shared" ref="P175:P180" si="38">G175*O175</f>
        <v>0</v>
      </c>
    </row>
    <row r="176" spans="1:16" outlineLevel="1" x14ac:dyDescent="0.2">
      <c r="B176" s="120"/>
      <c r="C176" s="68"/>
      <c r="D176" s="68"/>
      <c r="E176" s="77"/>
      <c r="F176" s="68" t="s">
        <v>81</v>
      </c>
      <c r="G176" s="131">
        <v>0</v>
      </c>
      <c r="H176" s="78" t="s">
        <v>4</v>
      </c>
      <c r="I176" s="121"/>
      <c r="J176" s="89"/>
      <c r="K176" s="71" t="s">
        <v>152</v>
      </c>
      <c r="L176" s="80">
        <v>16.36</v>
      </c>
      <c r="M176" s="93"/>
      <c r="N176" s="128">
        <f t="shared" ref="N176:N239" si="39">L176*M$173</f>
        <v>16.36</v>
      </c>
      <c r="O176" s="128">
        <f t="shared" si="37"/>
        <v>16.36</v>
      </c>
      <c r="P176" s="129">
        <f t="shared" si="38"/>
        <v>0</v>
      </c>
    </row>
    <row r="177" spans="2:16" outlineLevel="1" x14ac:dyDescent="0.2">
      <c r="B177" s="120"/>
      <c r="C177" s="68"/>
      <c r="D177" s="68"/>
      <c r="E177" s="77"/>
      <c r="F177" s="68" t="s">
        <v>446</v>
      </c>
      <c r="G177" s="131">
        <v>0</v>
      </c>
      <c r="H177" s="78" t="s">
        <v>75</v>
      </c>
      <c r="I177" s="121"/>
      <c r="J177" s="89"/>
      <c r="K177" s="71" t="s">
        <v>153</v>
      </c>
      <c r="L177" s="80">
        <v>93.98</v>
      </c>
      <c r="M177" s="93"/>
      <c r="N177" s="128">
        <f t="shared" si="39"/>
        <v>93.98</v>
      </c>
      <c r="O177" s="128">
        <f t="shared" si="37"/>
        <v>93.98</v>
      </c>
      <c r="P177" s="129">
        <f t="shared" si="38"/>
        <v>0</v>
      </c>
    </row>
    <row r="178" spans="2:16" outlineLevel="1" x14ac:dyDescent="0.2">
      <c r="B178" s="120"/>
      <c r="C178" s="68"/>
      <c r="D178" s="68"/>
      <c r="E178" s="77"/>
      <c r="F178" s="68" t="s">
        <v>154</v>
      </c>
      <c r="G178" s="122">
        <f>G179</f>
        <v>0</v>
      </c>
      <c r="H178" s="78" t="s">
        <v>4</v>
      </c>
      <c r="I178" s="121"/>
      <c r="J178" s="89"/>
      <c r="K178" s="71" t="s">
        <v>155</v>
      </c>
      <c r="L178" s="80">
        <v>3.28</v>
      </c>
      <c r="M178" s="93"/>
      <c r="N178" s="128">
        <f t="shared" si="39"/>
        <v>3.28</v>
      </c>
      <c r="O178" s="128">
        <f t="shared" si="37"/>
        <v>3.28</v>
      </c>
      <c r="P178" s="129">
        <f t="shared" si="38"/>
        <v>0</v>
      </c>
    </row>
    <row r="179" spans="2:16" outlineLevel="1" x14ac:dyDescent="0.2">
      <c r="B179" s="120"/>
      <c r="C179" s="68"/>
      <c r="D179" s="68"/>
      <c r="E179" s="77"/>
      <c r="F179" s="68" t="s">
        <v>444</v>
      </c>
      <c r="G179" s="122">
        <f>G175-G176</f>
        <v>0</v>
      </c>
      <c r="H179" s="78" t="s">
        <v>4</v>
      </c>
      <c r="I179" s="121"/>
      <c r="J179" s="89"/>
      <c r="K179" s="71" t="s">
        <v>156</v>
      </c>
      <c r="L179" s="80">
        <v>7.38</v>
      </c>
      <c r="M179" s="93"/>
      <c r="N179" s="128">
        <f t="shared" si="39"/>
        <v>7.38</v>
      </c>
      <c r="O179" s="128">
        <f t="shared" si="37"/>
        <v>7.38</v>
      </c>
      <c r="P179" s="129">
        <f t="shared" si="38"/>
        <v>0</v>
      </c>
    </row>
    <row r="180" spans="2:16" outlineLevel="1" x14ac:dyDescent="0.2">
      <c r="B180" s="120"/>
      <c r="C180" s="68"/>
      <c r="D180" s="68"/>
      <c r="E180" s="77"/>
      <c r="F180" s="68" t="s">
        <v>295</v>
      </c>
      <c r="G180" s="131">
        <v>0</v>
      </c>
      <c r="H180" s="78" t="s">
        <v>8</v>
      </c>
      <c r="I180" s="121"/>
      <c r="J180" s="89"/>
      <c r="K180" s="71"/>
      <c r="L180" s="80">
        <v>25</v>
      </c>
      <c r="M180" s="93"/>
      <c r="N180" s="128">
        <f t="shared" si="39"/>
        <v>25</v>
      </c>
      <c r="O180" s="128">
        <f t="shared" si="37"/>
        <v>25</v>
      </c>
      <c r="P180" s="129">
        <f t="shared" si="38"/>
        <v>0</v>
      </c>
    </row>
    <row r="181" spans="2:16" outlineLevel="1" x14ac:dyDescent="0.2">
      <c r="B181" s="120"/>
      <c r="C181" s="68"/>
      <c r="D181" s="68"/>
      <c r="E181" s="77" t="s">
        <v>157</v>
      </c>
      <c r="F181" s="70"/>
      <c r="G181" s="122"/>
      <c r="H181" s="123"/>
      <c r="I181" s="89"/>
      <c r="J181" s="89"/>
      <c r="K181" s="71"/>
      <c r="L181" s="80"/>
      <c r="M181" s="93"/>
      <c r="N181" s="128">
        <f t="shared" si="39"/>
        <v>0</v>
      </c>
      <c r="O181" s="121"/>
      <c r="P181" s="124"/>
    </row>
    <row r="182" spans="2:16" outlineLevel="1" x14ac:dyDescent="0.2">
      <c r="B182" s="120"/>
      <c r="C182" s="68"/>
      <c r="D182" s="68"/>
      <c r="E182" s="69"/>
      <c r="F182" s="68" t="s">
        <v>486</v>
      </c>
      <c r="G182" s="131">
        <v>0</v>
      </c>
      <c r="H182" s="78" t="s">
        <v>4</v>
      </c>
      <c r="I182" s="121"/>
      <c r="J182" s="89"/>
      <c r="K182" s="71" t="s">
        <v>485</v>
      </c>
      <c r="L182" s="80">
        <v>31.9</v>
      </c>
      <c r="M182" s="93"/>
      <c r="N182" s="128">
        <f t="shared" si="39"/>
        <v>31.9</v>
      </c>
      <c r="O182" s="128">
        <f t="shared" si="37"/>
        <v>31.9</v>
      </c>
      <c r="P182" s="129">
        <f t="shared" ref="P182:P188" si="40">G182*O182</f>
        <v>0</v>
      </c>
    </row>
    <row r="183" spans="2:16" outlineLevel="1" x14ac:dyDescent="0.2">
      <c r="B183" s="120"/>
      <c r="C183" s="68"/>
      <c r="D183" s="68"/>
      <c r="E183" s="69"/>
      <c r="F183" s="68" t="s">
        <v>81</v>
      </c>
      <c r="G183" s="131">
        <v>0</v>
      </c>
      <c r="H183" s="78" t="s">
        <v>4</v>
      </c>
      <c r="I183" s="121"/>
      <c r="J183" s="89"/>
      <c r="K183" s="71" t="s">
        <v>152</v>
      </c>
      <c r="L183" s="80">
        <v>16.36</v>
      </c>
      <c r="M183" s="93"/>
      <c r="N183" s="128">
        <f t="shared" si="39"/>
        <v>16.36</v>
      </c>
      <c r="O183" s="128">
        <f t="shared" si="37"/>
        <v>16.36</v>
      </c>
      <c r="P183" s="129">
        <f t="shared" si="40"/>
        <v>0</v>
      </c>
    </row>
    <row r="184" spans="2:16" outlineLevel="1" x14ac:dyDescent="0.2">
      <c r="B184" s="120"/>
      <c r="C184" s="68"/>
      <c r="D184" s="68"/>
      <c r="E184" s="69"/>
      <c r="F184" s="68" t="s">
        <v>447</v>
      </c>
      <c r="G184" s="131">
        <v>0</v>
      </c>
      <c r="H184" s="78" t="s">
        <v>75</v>
      </c>
      <c r="I184" s="121"/>
      <c r="J184" s="89"/>
      <c r="K184" s="71" t="s">
        <v>152</v>
      </c>
      <c r="L184" s="80">
        <v>68.03</v>
      </c>
      <c r="M184" s="93"/>
      <c r="N184" s="128">
        <f t="shared" si="39"/>
        <v>68.03</v>
      </c>
      <c r="O184" s="128">
        <f t="shared" si="37"/>
        <v>68.03</v>
      </c>
      <c r="P184" s="129">
        <f t="shared" si="40"/>
        <v>0</v>
      </c>
    </row>
    <row r="185" spans="2:16" outlineLevel="1" x14ac:dyDescent="0.2">
      <c r="B185" s="120"/>
      <c r="C185" s="68"/>
      <c r="D185" s="68"/>
      <c r="E185" s="69"/>
      <c r="F185" s="68" t="s">
        <v>154</v>
      </c>
      <c r="G185" s="122">
        <f>G186</f>
        <v>0</v>
      </c>
      <c r="H185" s="78" t="s">
        <v>4</v>
      </c>
      <c r="I185" s="121"/>
      <c r="J185" s="89"/>
      <c r="K185" s="71" t="s">
        <v>155</v>
      </c>
      <c r="L185" s="80">
        <v>3.28</v>
      </c>
      <c r="M185" s="93"/>
      <c r="N185" s="128">
        <f t="shared" si="39"/>
        <v>3.28</v>
      </c>
      <c r="O185" s="128">
        <f t="shared" si="37"/>
        <v>3.28</v>
      </c>
      <c r="P185" s="129">
        <f t="shared" si="40"/>
        <v>0</v>
      </c>
    </row>
    <row r="186" spans="2:16" outlineLevel="1" x14ac:dyDescent="0.2">
      <c r="B186" s="120"/>
      <c r="C186" s="68"/>
      <c r="D186" s="68"/>
      <c r="E186" s="69"/>
      <c r="F186" s="68" t="s">
        <v>444</v>
      </c>
      <c r="G186" s="122">
        <f>G182-G183</f>
        <v>0</v>
      </c>
      <c r="H186" s="78" t="s">
        <v>4</v>
      </c>
      <c r="I186" s="121"/>
      <c r="J186" s="89"/>
      <c r="K186" s="71" t="s">
        <v>156</v>
      </c>
      <c r="L186" s="80">
        <v>7.38</v>
      </c>
      <c r="M186" s="93"/>
      <c r="N186" s="128">
        <f t="shared" si="39"/>
        <v>7.38</v>
      </c>
      <c r="O186" s="128">
        <f t="shared" si="37"/>
        <v>7.38</v>
      </c>
      <c r="P186" s="129">
        <f t="shared" si="40"/>
        <v>0</v>
      </c>
    </row>
    <row r="187" spans="2:16" outlineLevel="1" x14ac:dyDescent="0.2">
      <c r="B187" s="120"/>
      <c r="C187" s="68"/>
      <c r="D187" s="68"/>
      <c r="E187" s="69"/>
      <c r="F187" s="68" t="s">
        <v>158</v>
      </c>
      <c r="G187" s="131">
        <v>0</v>
      </c>
      <c r="H187" s="78" t="s">
        <v>75</v>
      </c>
      <c r="I187" s="121"/>
      <c r="J187" s="89"/>
      <c r="K187" s="71" t="s">
        <v>159</v>
      </c>
      <c r="L187" s="80">
        <v>5.5</v>
      </c>
      <c r="M187" s="93"/>
      <c r="N187" s="128">
        <f t="shared" si="39"/>
        <v>5.5</v>
      </c>
      <c r="O187" s="128">
        <f t="shared" si="37"/>
        <v>5.5</v>
      </c>
      <c r="P187" s="129">
        <f t="shared" si="40"/>
        <v>0</v>
      </c>
    </row>
    <row r="188" spans="2:16" outlineLevel="1" x14ac:dyDescent="0.2">
      <c r="B188" s="120"/>
      <c r="C188" s="68"/>
      <c r="D188" s="68"/>
      <c r="E188" s="69"/>
      <c r="F188" s="68" t="s">
        <v>295</v>
      </c>
      <c r="G188" s="131">
        <v>0</v>
      </c>
      <c r="H188" s="78" t="s">
        <v>8</v>
      </c>
      <c r="I188" s="121"/>
      <c r="J188" s="89"/>
      <c r="K188" s="71"/>
      <c r="L188" s="80">
        <v>25</v>
      </c>
      <c r="M188" s="93"/>
      <c r="N188" s="128">
        <f t="shared" si="39"/>
        <v>25</v>
      </c>
      <c r="O188" s="128">
        <f t="shared" si="37"/>
        <v>25</v>
      </c>
      <c r="P188" s="129">
        <f t="shared" si="40"/>
        <v>0</v>
      </c>
    </row>
    <row r="189" spans="2:16" outlineLevel="1" x14ac:dyDescent="0.2">
      <c r="B189" s="120"/>
      <c r="C189" s="68"/>
      <c r="D189" s="68"/>
      <c r="E189" s="77" t="s">
        <v>160</v>
      </c>
      <c r="F189" s="68"/>
      <c r="G189" s="122"/>
      <c r="H189" s="78"/>
      <c r="I189" s="89"/>
      <c r="J189" s="89"/>
      <c r="K189" s="71"/>
      <c r="L189" s="80"/>
      <c r="M189" s="93"/>
      <c r="N189" s="128">
        <f t="shared" si="39"/>
        <v>0</v>
      </c>
      <c r="O189" s="121"/>
      <c r="P189" s="124"/>
    </row>
    <row r="190" spans="2:16" outlineLevel="1" x14ac:dyDescent="0.2">
      <c r="B190" s="120"/>
      <c r="C190" s="68"/>
      <c r="D190" s="68"/>
      <c r="E190" s="77"/>
      <c r="F190" s="68" t="s">
        <v>445</v>
      </c>
      <c r="G190" s="131">
        <v>0</v>
      </c>
      <c r="H190" s="78" t="s">
        <v>75</v>
      </c>
      <c r="I190" s="121"/>
      <c r="J190" s="89"/>
      <c r="K190" s="71" t="s">
        <v>161</v>
      </c>
      <c r="L190" s="80">
        <v>11.65</v>
      </c>
      <c r="M190" s="93"/>
      <c r="N190" s="128">
        <f t="shared" si="39"/>
        <v>11.65</v>
      </c>
      <c r="O190" s="128">
        <f t="shared" si="37"/>
        <v>11.65</v>
      </c>
      <c r="P190" s="129">
        <f>G190*O190</f>
        <v>0</v>
      </c>
    </row>
    <row r="191" spans="2:16" outlineLevel="1" x14ac:dyDescent="0.2">
      <c r="B191" s="120"/>
      <c r="C191" s="68"/>
      <c r="D191" s="68"/>
      <c r="E191" s="77"/>
      <c r="F191" s="68" t="s">
        <v>162</v>
      </c>
      <c r="G191" s="122">
        <f>G190</f>
        <v>0</v>
      </c>
      <c r="H191" s="78" t="s">
        <v>75</v>
      </c>
      <c r="I191" s="121"/>
      <c r="J191" s="89"/>
      <c r="K191" s="132" t="s">
        <v>163</v>
      </c>
      <c r="L191" s="80">
        <v>2</v>
      </c>
      <c r="M191" s="93"/>
      <c r="N191" s="128">
        <f t="shared" si="39"/>
        <v>2</v>
      </c>
      <c r="O191" s="128">
        <f t="shared" si="37"/>
        <v>2</v>
      </c>
      <c r="P191" s="129">
        <f>G191*O191</f>
        <v>0</v>
      </c>
    </row>
    <row r="192" spans="2:16" outlineLevel="1" x14ac:dyDescent="0.2">
      <c r="B192" s="120"/>
      <c r="C192" s="68"/>
      <c r="D192" s="68"/>
      <c r="E192" s="77"/>
      <c r="F192" s="68" t="s">
        <v>295</v>
      </c>
      <c r="G192" s="131">
        <v>0</v>
      </c>
      <c r="H192" s="78" t="s">
        <v>8</v>
      </c>
      <c r="I192" s="121"/>
      <c r="J192" s="89"/>
      <c r="K192" s="71"/>
      <c r="L192" s="80">
        <v>25</v>
      </c>
      <c r="M192" s="93"/>
      <c r="N192" s="128">
        <f t="shared" si="39"/>
        <v>25</v>
      </c>
      <c r="O192" s="128">
        <f t="shared" si="37"/>
        <v>25</v>
      </c>
      <c r="P192" s="129">
        <f>G192*O192</f>
        <v>0</v>
      </c>
    </row>
    <row r="193" spans="2:16" outlineLevel="1" x14ac:dyDescent="0.2">
      <c r="B193" s="120"/>
      <c r="C193" s="68"/>
      <c r="D193" s="68"/>
      <c r="E193" s="77" t="s">
        <v>164</v>
      </c>
      <c r="F193" s="70"/>
      <c r="G193" s="122"/>
      <c r="H193" s="123"/>
      <c r="I193" s="89"/>
      <c r="J193" s="89"/>
      <c r="K193" s="71"/>
      <c r="L193" s="80"/>
      <c r="M193" s="93"/>
      <c r="N193" s="128">
        <f t="shared" si="39"/>
        <v>0</v>
      </c>
      <c r="O193" s="121"/>
      <c r="P193" s="124"/>
    </row>
    <row r="194" spans="2:16" outlineLevel="1" x14ac:dyDescent="0.2">
      <c r="B194" s="120"/>
      <c r="C194" s="68"/>
      <c r="D194" s="68"/>
      <c r="E194" s="69"/>
      <c r="F194" s="68" t="s">
        <v>486</v>
      </c>
      <c r="G194" s="131">
        <v>0</v>
      </c>
      <c r="H194" s="123" t="s">
        <v>4</v>
      </c>
      <c r="I194" s="121"/>
      <c r="J194" s="89"/>
      <c r="K194" s="71" t="s">
        <v>485</v>
      </c>
      <c r="L194" s="80">
        <v>31.9</v>
      </c>
      <c r="M194" s="93"/>
      <c r="N194" s="128">
        <f t="shared" si="39"/>
        <v>31.9</v>
      </c>
      <c r="O194" s="128">
        <f t="shared" si="37"/>
        <v>31.9</v>
      </c>
      <c r="P194" s="129">
        <f t="shared" ref="P194:P204" si="41">G194*O194</f>
        <v>0</v>
      </c>
    </row>
    <row r="195" spans="2:16" outlineLevel="1" x14ac:dyDescent="0.2">
      <c r="B195" s="120"/>
      <c r="C195" s="68"/>
      <c r="D195" s="68"/>
      <c r="E195" s="69"/>
      <c r="F195" s="68" t="s">
        <v>459</v>
      </c>
      <c r="G195" s="131">
        <v>0</v>
      </c>
      <c r="H195" s="123" t="s">
        <v>3</v>
      </c>
      <c r="I195" s="121"/>
      <c r="J195" s="89"/>
      <c r="K195" s="71"/>
      <c r="L195" s="127">
        <v>25</v>
      </c>
      <c r="M195" s="93"/>
      <c r="N195" s="128">
        <f t="shared" si="39"/>
        <v>25</v>
      </c>
      <c r="O195" s="128">
        <f t="shared" si="37"/>
        <v>25</v>
      </c>
      <c r="P195" s="129">
        <f t="shared" si="41"/>
        <v>0</v>
      </c>
    </row>
    <row r="196" spans="2:16" outlineLevel="1" x14ac:dyDescent="0.2">
      <c r="B196" s="120"/>
      <c r="C196" s="68"/>
      <c r="D196" s="68"/>
      <c r="E196" s="69"/>
      <c r="F196" s="68" t="s">
        <v>165</v>
      </c>
      <c r="G196" s="131">
        <v>0</v>
      </c>
      <c r="H196" s="78" t="s">
        <v>75</v>
      </c>
      <c r="I196" s="121"/>
      <c r="J196" s="89"/>
      <c r="K196" s="71" t="s">
        <v>166</v>
      </c>
      <c r="L196" s="80">
        <v>70</v>
      </c>
      <c r="M196" s="93"/>
      <c r="N196" s="128">
        <f t="shared" si="39"/>
        <v>70</v>
      </c>
      <c r="O196" s="128">
        <f t="shared" si="37"/>
        <v>70</v>
      </c>
      <c r="P196" s="129">
        <f t="shared" si="41"/>
        <v>0</v>
      </c>
    </row>
    <row r="197" spans="2:16" outlineLevel="1" x14ac:dyDescent="0.2">
      <c r="B197" s="120"/>
      <c r="C197" s="68"/>
      <c r="D197" s="68"/>
      <c r="E197" s="69"/>
      <c r="F197" s="68" t="s">
        <v>167</v>
      </c>
      <c r="G197" s="131">
        <v>0</v>
      </c>
      <c r="H197" s="123" t="s">
        <v>1</v>
      </c>
      <c r="I197" s="121"/>
      <c r="J197" s="89"/>
      <c r="K197" s="71" t="s">
        <v>168</v>
      </c>
      <c r="L197" s="80">
        <v>19.27</v>
      </c>
      <c r="M197" s="93"/>
      <c r="N197" s="128">
        <f t="shared" si="39"/>
        <v>19.27</v>
      </c>
      <c r="O197" s="128">
        <f t="shared" si="37"/>
        <v>19.27</v>
      </c>
      <c r="P197" s="129">
        <f t="shared" si="41"/>
        <v>0</v>
      </c>
    </row>
    <row r="198" spans="2:16" outlineLevel="1" x14ac:dyDescent="0.2">
      <c r="B198" s="120"/>
      <c r="C198" s="68"/>
      <c r="D198" s="68"/>
      <c r="E198" s="69"/>
      <c r="F198" s="68" t="s">
        <v>169</v>
      </c>
      <c r="G198" s="131">
        <v>0</v>
      </c>
      <c r="H198" s="123" t="s">
        <v>1</v>
      </c>
      <c r="I198" s="121"/>
      <c r="J198" s="89"/>
      <c r="K198" s="71" t="s">
        <v>170</v>
      </c>
      <c r="L198" s="80">
        <v>63.41</v>
      </c>
      <c r="M198" s="93"/>
      <c r="N198" s="128">
        <f t="shared" si="39"/>
        <v>63.41</v>
      </c>
      <c r="O198" s="128">
        <f t="shared" si="37"/>
        <v>63.41</v>
      </c>
      <c r="P198" s="129">
        <f t="shared" si="41"/>
        <v>0</v>
      </c>
    </row>
    <row r="199" spans="2:16" outlineLevel="1" x14ac:dyDescent="0.2">
      <c r="B199" s="120"/>
      <c r="C199" s="68"/>
      <c r="D199" s="68"/>
      <c r="E199" s="69"/>
      <c r="F199" s="68" t="s">
        <v>171</v>
      </c>
      <c r="G199" s="131">
        <v>0</v>
      </c>
      <c r="H199" s="123" t="s">
        <v>1</v>
      </c>
      <c r="I199" s="121"/>
      <c r="J199" s="89"/>
      <c r="K199" s="71"/>
      <c r="L199" s="80">
        <v>5000</v>
      </c>
      <c r="M199" s="93"/>
      <c r="N199" s="128">
        <f t="shared" si="39"/>
        <v>5000</v>
      </c>
      <c r="O199" s="128">
        <f t="shared" si="37"/>
        <v>5000</v>
      </c>
      <c r="P199" s="129">
        <f t="shared" si="41"/>
        <v>0</v>
      </c>
    </row>
    <row r="200" spans="2:16" outlineLevel="1" x14ac:dyDescent="0.2">
      <c r="B200" s="120"/>
      <c r="C200" s="68"/>
      <c r="D200" s="68"/>
      <c r="E200" s="69"/>
      <c r="F200" s="68" t="s">
        <v>172</v>
      </c>
      <c r="G200" s="131">
        <v>0</v>
      </c>
      <c r="H200" s="123" t="s">
        <v>75</v>
      </c>
      <c r="I200" s="121"/>
      <c r="J200" s="89"/>
      <c r="K200" s="71" t="s">
        <v>173</v>
      </c>
      <c r="L200" s="80">
        <v>58</v>
      </c>
      <c r="M200" s="93"/>
      <c r="N200" s="128">
        <f t="shared" si="39"/>
        <v>58</v>
      </c>
      <c r="O200" s="128">
        <f t="shared" si="37"/>
        <v>58</v>
      </c>
      <c r="P200" s="129">
        <f t="shared" si="41"/>
        <v>0</v>
      </c>
    </row>
    <row r="201" spans="2:16" outlineLevel="1" x14ac:dyDescent="0.2">
      <c r="B201" s="120"/>
      <c r="C201" s="68"/>
      <c r="D201" s="68"/>
      <c r="E201" s="69"/>
      <c r="F201" s="68" t="s">
        <v>464</v>
      </c>
      <c r="G201" s="131">
        <v>0</v>
      </c>
      <c r="H201" s="123" t="s">
        <v>75</v>
      </c>
      <c r="I201" s="121"/>
      <c r="J201" s="89"/>
      <c r="K201" s="71" t="s">
        <v>174</v>
      </c>
      <c r="L201" s="80">
        <v>50</v>
      </c>
      <c r="M201" s="93"/>
      <c r="N201" s="128">
        <f t="shared" si="39"/>
        <v>50</v>
      </c>
      <c r="O201" s="128">
        <f t="shared" si="37"/>
        <v>50</v>
      </c>
      <c r="P201" s="129">
        <f t="shared" si="41"/>
        <v>0</v>
      </c>
    </row>
    <row r="202" spans="2:16" outlineLevel="1" x14ac:dyDescent="0.2">
      <c r="B202" s="120"/>
      <c r="C202" s="68"/>
      <c r="D202" s="68"/>
      <c r="E202" s="69"/>
      <c r="F202" s="68" t="s">
        <v>175</v>
      </c>
      <c r="G202" s="131">
        <v>0</v>
      </c>
      <c r="H202" s="78" t="s">
        <v>1</v>
      </c>
      <c r="I202" s="121"/>
      <c r="J202" s="89"/>
      <c r="K202" s="71" t="s">
        <v>176</v>
      </c>
      <c r="L202" s="80">
        <v>15</v>
      </c>
      <c r="M202" s="93"/>
      <c r="N202" s="128">
        <f t="shared" si="39"/>
        <v>15</v>
      </c>
      <c r="O202" s="128">
        <f t="shared" si="37"/>
        <v>15</v>
      </c>
      <c r="P202" s="129">
        <f t="shared" si="41"/>
        <v>0</v>
      </c>
    </row>
    <row r="203" spans="2:16" outlineLevel="1" x14ac:dyDescent="0.2">
      <c r="B203" s="120"/>
      <c r="C203" s="68"/>
      <c r="D203" s="68"/>
      <c r="E203" s="69"/>
      <c r="F203" s="68" t="s">
        <v>177</v>
      </c>
      <c r="G203" s="131">
        <v>0</v>
      </c>
      <c r="H203" s="123" t="s">
        <v>1</v>
      </c>
      <c r="I203" s="121"/>
      <c r="J203" s="89"/>
      <c r="K203" s="71" t="s">
        <v>178</v>
      </c>
      <c r="L203" s="80">
        <v>35</v>
      </c>
      <c r="M203" s="93"/>
      <c r="N203" s="128">
        <f t="shared" si="39"/>
        <v>35</v>
      </c>
      <c r="O203" s="128">
        <f t="shared" si="37"/>
        <v>35</v>
      </c>
      <c r="P203" s="129">
        <f t="shared" si="41"/>
        <v>0</v>
      </c>
    </row>
    <row r="204" spans="2:16" outlineLevel="1" x14ac:dyDescent="0.2">
      <c r="B204" s="120"/>
      <c r="C204" s="68"/>
      <c r="D204" s="68"/>
      <c r="E204" s="69"/>
      <c r="F204" s="68" t="s">
        <v>295</v>
      </c>
      <c r="G204" s="131">
        <v>0</v>
      </c>
      <c r="H204" s="123" t="s">
        <v>8</v>
      </c>
      <c r="I204" s="121"/>
      <c r="J204" s="89"/>
      <c r="K204" s="71"/>
      <c r="L204" s="80">
        <v>25</v>
      </c>
      <c r="M204" s="93"/>
      <c r="N204" s="128">
        <f t="shared" si="39"/>
        <v>25</v>
      </c>
      <c r="O204" s="128">
        <f t="shared" si="37"/>
        <v>25</v>
      </c>
      <c r="P204" s="129">
        <f t="shared" si="41"/>
        <v>0</v>
      </c>
    </row>
    <row r="205" spans="2:16" outlineLevel="1" x14ac:dyDescent="0.2">
      <c r="B205" s="120"/>
      <c r="C205" s="68"/>
      <c r="D205" s="68"/>
      <c r="E205" s="77" t="s">
        <v>179</v>
      </c>
      <c r="F205" s="68"/>
      <c r="G205" s="122"/>
      <c r="H205" s="123"/>
      <c r="I205" s="89"/>
      <c r="J205" s="89"/>
      <c r="K205" s="71"/>
      <c r="L205" s="80"/>
      <c r="M205" s="93"/>
      <c r="N205" s="128">
        <f t="shared" si="39"/>
        <v>0</v>
      </c>
      <c r="O205" s="121"/>
      <c r="P205" s="124"/>
    </row>
    <row r="206" spans="2:16" outlineLevel="1" x14ac:dyDescent="0.2">
      <c r="B206" s="120"/>
      <c r="C206" s="68"/>
      <c r="D206" s="68"/>
      <c r="E206" s="77"/>
      <c r="F206" s="68" t="s">
        <v>180</v>
      </c>
      <c r="G206" s="131">
        <v>0</v>
      </c>
      <c r="H206" s="123" t="s">
        <v>1</v>
      </c>
      <c r="I206" s="121"/>
      <c r="J206" s="89"/>
      <c r="K206" s="71" t="s">
        <v>181</v>
      </c>
      <c r="L206" s="80">
        <v>41.42</v>
      </c>
      <c r="M206" s="93"/>
      <c r="N206" s="128">
        <f t="shared" si="39"/>
        <v>41.42</v>
      </c>
      <c r="O206" s="128">
        <f t="shared" si="37"/>
        <v>41.42</v>
      </c>
      <c r="P206" s="129">
        <f t="shared" ref="P206:P223" si="42">G206*O206</f>
        <v>0</v>
      </c>
    </row>
    <row r="207" spans="2:16" outlineLevel="1" x14ac:dyDescent="0.2">
      <c r="B207" s="120"/>
      <c r="C207" s="68"/>
      <c r="D207" s="68"/>
      <c r="E207" s="77"/>
      <c r="F207" s="68" t="s">
        <v>182</v>
      </c>
      <c r="G207" s="131">
        <v>0</v>
      </c>
      <c r="H207" s="123" t="s">
        <v>1</v>
      </c>
      <c r="I207" s="121"/>
      <c r="J207" s="89"/>
      <c r="K207" s="71" t="s">
        <v>181</v>
      </c>
      <c r="L207" s="80">
        <v>38.590000000000003</v>
      </c>
      <c r="M207" s="93"/>
      <c r="N207" s="128">
        <f t="shared" si="39"/>
        <v>38.590000000000003</v>
      </c>
      <c r="O207" s="128">
        <f t="shared" si="37"/>
        <v>38.590000000000003</v>
      </c>
      <c r="P207" s="129">
        <f t="shared" si="42"/>
        <v>0</v>
      </c>
    </row>
    <row r="208" spans="2:16" outlineLevel="1" x14ac:dyDescent="0.2">
      <c r="B208" s="120"/>
      <c r="C208" s="68"/>
      <c r="D208" s="68"/>
      <c r="E208" s="77"/>
      <c r="F208" s="68" t="s">
        <v>183</v>
      </c>
      <c r="G208" s="131">
        <v>0</v>
      </c>
      <c r="H208" s="123" t="s">
        <v>1</v>
      </c>
      <c r="I208" s="121"/>
      <c r="J208" s="89"/>
      <c r="K208" s="71" t="s">
        <v>184</v>
      </c>
      <c r="L208" s="80">
        <v>96.34</v>
      </c>
      <c r="M208" s="93"/>
      <c r="N208" s="128">
        <f t="shared" si="39"/>
        <v>96.34</v>
      </c>
      <c r="O208" s="128">
        <f t="shared" si="37"/>
        <v>96.34</v>
      </c>
      <c r="P208" s="129">
        <f t="shared" si="42"/>
        <v>0</v>
      </c>
    </row>
    <row r="209" spans="2:16" outlineLevel="1" x14ac:dyDescent="0.2">
      <c r="B209" s="120"/>
      <c r="C209" s="68"/>
      <c r="D209" s="68"/>
      <c r="E209" s="77"/>
      <c r="F209" s="68" t="s">
        <v>185</v>
      </c>
      <c r="G209" s="131">
        <v>0</v>
      </c>
      <c r="H209" s="123" t="s">
        <v>1</v>
      </c>
      <c r="I209" s="121"/>
      <c r="J209" s="89"/>
      <c r="K209" s="71" t="s">
        <v>184</v>
      </c>
      <c r="L209" s="80">
        <v>96.34</v>
      </c>
      <c r="M209" s="93"/>
      <c r="N209" s="128">
        <f t="shared" si="39"/>
        <v>96.34</v>
      </c>
      <c r="O209" s="128">
        <f t="shared" si="37"/>
        <v>96.34</v>
      </c>
      <c r="P209" s="129">
        <f t="shared" si="42"/>
        <v>0</v>
      </c>
    </row>
    <row r="210" spans="2:16" outlineLevel="1" x14ac:dyDescent="0.2">
      <c r="B210" s="120"/>
      <c r="C210" s="68"/>
      <c r="D210" s="68"/>
      <c r="E210" s="77"/>
      <c r="F210" s="68" t="s">
        <v>186</v>
      </c>
      <c r="G210" s="131">
        <v>0</v>
      </c>
      <c r="H210" s="123" t="s">
        <v>1</v>
      </c>
      <c r="I210" s="121"/>
      <c r="J210" s="89"/>
      <c r="K210" s="71" t="s">
        <v>184</v>
      </c>
      <c r="L210" s="80">
        <v>209.13</v>
      </c>
      <c r="M210" s="93"/>
      <c r="N210" s="128">
        <f t="shared" si="39"/>
        <v>209.13</v>
      </c>
      <c r="O210" s="128">
        <f t="shared" si="37"/>
        <v>209.13</v>
      </c>
      <c r="P210" s="129">
        <f t="shared" si="42"/>
        <v>0</v>
      </c>
    </row>
    <row r="211" spans="2:16" outlineLevel="1" x14ac:dyDescent="0.2">
      <c r="B211" s="120"/>
      <c r="C211" s="68"/>
      <c r="D211" s="68"/>
      <c r="E211" s="77"/>
      <c r="F211" s="68" t="s">
        <v>187</v>
      </c>
      <c r="G211" s="131">
        <v>0</v>
      </c>
      <c r="H211" s="123" t="s">
        <v>1</v>
      </c>
      <c r="I211" s="121"/>
      <c r="J211" s="89"/>
      <c r="K211" s="71" t="s">
        <v>184</v>
      </c>
      <c r="L211" s="80">
        <v>96.34</v>
      </c>
      <c r="M211" s="93"/>
      <c r="N211" s="128">
        <f t="shared" si="39"/>
        <v>96.34</v>
      </c>
      <c r="O211" s="128">
        <f t="shared" si="37"/>
        <v>96.34</v>
      </c>
      <c r="P211" s="129">
        <f t="shared" si="42"/>
        <v>0</v>
      </c>
    </row>
    <row r="212" spans="2:16" outlineLevel="1" x14ac:dyDescent="0.2">
      <c r="B212" s="120"/>
      <c r="C212" s="68"/>
      <c r="D212" s="68"/>
      <c r="E212" s="69"/>
      <c r="F212" s="68" t="s">
        <v>188</v>
      </c>
      <c r="G212" s="131">
        <v>0</v>
      </c>
      <c r="H212" s="123" t="s">
        <v>1</v>
      </c>
      <c r="I212" s="121"/>
      <c r="J212" s="89"/>
      <c r="K212" s="71" t="s">
        <v>189</v>
      </c>
      <c r="L212" s="80">
        <v>16.25</v>
      </c>
      <c r="M212" s="93"/>
      <c r="N212" s="128">
        <f t="shared" si="39"/>
        <v>16.25</v>
      </c>
      <c r="O212" s="128">
        <f t="shared" si="37"/>
        <v>16.25</v>
      </c>
      <c r="P212" s="129">
        <f t="shared" si="42"/>
        <v>0</v>
      </c>
    </row>
    <row r="213" spans="2:16" outlineLevel="1" x14ac:dyDescent="0.2">
      <c r="B213" s="120"/>
      <c r="C213" s="68"/>
      <c r="D213" s="68"/>
      <c r="E213" s="69"/>
      <c r="F213" s="68" t="s">
        <v>190</v>
      </c>
      <c r="G213" s="131">
        <v>0</v>
      </c>
      <c r="H213" s="123" t="s">
        <v>1</v>
      </c>
      <c r="I213" s="121"/>
      <c r="J213" s="89"/>
      <c r="K213" s="71" t="s">
        <v>191</v>
      </c>
      <c r="L213" s="80">
        <v>16.34</v>
      </c>
      <c r="M213" s="93"/>
      <c r="N213" s="128">
        <f t="shared" si="39"/>
        <v>16.34</v>
      </c>
      <c r="O213" s="128">
        <f t="shared" si="37"/>
        <v>16.34</v>
      </c>
      <c r="P213" s="129">
        <f t="shared" si="42"/>
        <v>0</v>
      </c>
    </row>
    <row r="214" spans="2:16" outlineLevel="1" x14ac:dyDescent="0.2">
      <c r="B214" s="120"/>
      <c r="C214" s="68"/>
      <c r="D214" s="68"/>
      <c r="E214" s="69"/>
      <c r="F214" s="68" t="s">
        <v>192</v>
      </c>
      <c r="G214" s="131">
        <v>0</v>
      </c>
      <c r="H214" s="123" t="s">
        <v>1</v>
      </c>
      <c r="I214" s="121"/>
      <c r="J214" s="89"/>
      <c r="K214" s="71" t="s">
        <v>189</v>
      </c>
      <c r="L214" s="80">
        <v>16.25</v>
      </c>
      <c r="M214" s="93"/>
      <c r="N214" s="128">
        <f t="shared" si="39"/>
        <v>16.25</v>
      </c>
      <c r="O214" s="128">
        <f t="shared" si="37"/>
        <v>16.25</v>
      </c>
      <c r="P214" s="129">
        <f t="shared" si="42"/>
        <v>0</v>
      </c>
    </row>
    <row r="215" spans="2:16" outlineLevel="1" x14ac:dyDescent="0.2">
      <c r="B215" s="120"/>
      <c r="C215" s="68"/>
      <c r="D215" s="68"/>
      <c r="E215" s="69"/>
      <c r="F215" s="68" t="s">
        <v>193</v>
      </c>
      <c r="G215" s="131">
        <v>0</v>
      </c>
      <c r="H215" s="123" t="s">
        <v>1</v>
      </c>
      <c r="I215" s="121"/>
      <c r="J215" s="89"/>
      <c r="K215" s="71" t="s">
        <v>194</v>
      </c>
      <c r="L215" s="80">
        <v>27</v>
      </c>
      <c r="M215" s="93"/>
      <c r="N215" s="128">
        <f t="shared" si="39"/>
        <v>27</v>
      </c>
      <c r="O215" s="128">
        <f t="shared" si="37"/>
        <v>27</v>
      </c>
      <c r="P215" s="129">
        <f t="shared" si="42"/>
        <v>0</v>
      </c>
    </row>
    <row r="216" spans="2:16" outlineLevel="1" x14ac:dyDescent="0.2">
      <c r="B216" s="120"/>
      <c r="C216" s="68"/>
      <c r="D216" s="68"/>
      <c r="E216" s="69"/>
      <c r="F216" s="68" t="s">
        <v>195</v>
      </c>
      <c r="G216" s="131">
        <v>0</v>
      </c>
      <c r="H216" s="123" t="s">
        <v>1</v>
      </c>
      <c r="I216" s="121"/>
      <c r="J216" s="89"/>
      <c r="K216" s="71"/>
      <c r="L216" s="80">
        <v>500</v>
      </c>
      <c r="M216" s="93"/>
      <c r="N216" s="128">
        <f t="shared" si="39"/>
        <v>500</v>
      </c>
      <c r="O216" s="128">
        <f t="shared" si="37"/>
        <v>500</v>
      </c>
      <c r="P216" s="129">
        <f t="shared" si="42"/>
        <v>0</v>
      </c>
    </row>
    <row r="217" spans="2:16" outlineLevel="1" x14ac:dyDescent="0.2">
      <c r="B217" s="120"/>
      <c r="C217" s="68"/>
      <c r="D217" s="68"/>
      <c r="E217" s="69"/>
      <c r="F217" s="68" t="s">
        <v>196</v>
      </c>
      <c r="G217" s="131">
        <v>0</v>
      </c>
      <c r="H217" s="123" t="s">
        <v>1</v>
      </c>
      <c r="I217" s="121"/>
      <c r="J217" s="89"/>
      <c r="K217" s="71"/>
      <c r="L217" s="80">
        <v>750</v>
      </c>
      <c r="M217" s="93"/>
      <c r="N217" s="128">
        <f t="shared" si="39"/>
        <v>750</v>
      </c>
      <c r="O217" s="128">
        <f t="shared" si="37"/>
        <v>750</v>
      </c>
      <c r="P217" s="129">
        <f t="shared" si="42"/>
        <v>0</v>
      </c>
    </row>
    <row r="218" spans="2:16" outlineLevel="1" x14ac:dyDescent="0.2">
      <c r="B218" s="120"/>
      <c r="C218" s="68"/>
      <c r="D218" s="68"/>
      <c r="E218" s="69"/>
      <c r="F218" s="68" t="s">
        <v>197</v>
      </c>
      <c r="G218" s="131">
        <v>0</v>
      </c>
      <c r="H218" s="123" t="s">
        <v>1</v>
      </c>
      <c r="I218" s="121"/>
      <c r="J218" s="89"/>
      <c r="K218" s="71"/>
      <c r="L218" s="80">
        <v>1000</v>
      </c>
      <c r="M218" s="93"/>
      <c r="N218" s="128">
        <f t="shared" si="39"/>
        <v>1000</v>
      </c>
      <c r="O218" s="128">
        <f t="shared" si="37"/>
        <v>1000</v>
      </c>
      <c r="P218" s="129">
        <f t="shared" si="42"/>
        <v>0</v>
      </c>
    </row>
    <row r="219" spans="2:16" outlineLevel="1" x14ac:dyDescent="0.2">
      <c r="B219" s="120"/>
      <c r="C219" s="68"/>
      <c r="D219" s="68"/>
      <c r="E219" s="69"/>
      <c r="F219" s="68" t="s">
        <v>198</v>
      </c>
      <c r="G219" s="131">
        <v>0</v>
      </c>
      <c r="H219" s="78" t="s">
        <v>75</v>
      </c>
      <c r="I219" s="121"/>
      <c r="J219" s="89"/>
      <c r="K219" s="71" t="s">
        <v>199</v>
      </c>
      <c r="L219" s="80">
        <v>1.25</v>
      </c>
      <c r="M219" s="93"/>
      <c r="N219" s="128">
        <f t="shared" si="39"/>
        <v>1.25</v>
      </c>
      <c r="O219" s="128">
        <f t="shared" si="37"/>
        <v>1.25</v>
      </c>
      <c r="P219" s="129">
        <f t="shared" si="42"/>
        <v>0</v>
      </c>
    </row>
    <row r="220" spans="2:16" outlineLevel="1" x14ac:dyDescent="0.2">
      <c r="B220" s="120"/>
      <c r="C220" s="68"/>
      <c r="D220" s="68"/>
      <c r="E220" s="69"/>
      <c r="F220" s="68" t="s">
        <v>448</v>
      </c>
      <c r="G220" s="122">
        <f>G219</f>
        <v>0</v>
      </c>
      <c r="H220" s="78" t="s">
        <v>75</v>
      </c>
      <c r="I220" s="121"/>
      <c r="J220" s="89"/>
      <c r="K220" s="71" t="s">
        <v>200</v>
      </c>
      <c r="L220" s="80">
        <v>5</v>
      </c>
      <c r="M220" s="93"/>
      <c r="N220" s="128">
        <f t="shared" si="39"/>
        <v>5</v>
      </c>
      <c r="O220" s="128">
        <f t="shared" si="37"/>
        <v>5</v>
      </c>
      <c r="P220" s="129">
        <f t="shared" si="42"/>
        <v>0</v>
      </c>
    </row>
    <row r="221" spans="2:16" outlineLevel="1" x14ac:dyDescent="0.2">
      <c r="B221" s="120"/>
      <c r="C221" s="68"/>
      <c r="D221" s="68"/>
      <c r="E221" s="69"/>
      <c r="F221" s="68" t="s">
        <v>201</v>
      </c>
      <c r="G221" s="131">
        <v>0</v>
      </c>
      <c r="H221" s="78" t="s">
        <v>1</v>
      </c>
      <c r="I221" s="121"/>
      <c r="J221" s="89"/>
      <c r="K221" s="71" t="s">
        <v>202</v>
      </c>
      <c r="L221" s="80">
        <v>34.14</v>
      </c>
      <c r="M221" s="93"/>
      <c r="N221" s="128">
        <f t="shared" si="39"/>
        <v>34.14</v>
      </c>
      <c r="O221" s="128">
        <f t="shared" si="37"/>
        <v>34.14</v>
      </c>
      <c r="P221" s="129">
        <f t="shared" si="42"/>
        <v>0</v>
      </c>
    </row>
    <row r="222" spans="2:16" outlineLevel="1" x14ac:dyDescent="0.2">
      <c r="B222" s="120"/>
      <c r="C222" s="68"/>
      <c r="D222" s="68"/>
      <c r="E222" s="69"/>
      <c r="F222" s="68" t="s">
        <v>203</v>
      </c>
      <c r="G222" s="209">
        <f>(G206+G207+G208+G209+G210+G211+G212+G213+G214+G215)*2*2</f>
        <v>0</v>
      </c>
      <c r="H222" s="78" t="s">
        <v>1</v>
      </c>
      <c r="I222" s="121"/>
      <c r="J222" s="89"/>
      <c r="K222" s="71" t="s">
        <v>204</v>
      </c>
      <c r="L222" s="80">
        <v>2</v>
      </c>
      <c r="M222" s="93"/>
      <c r="N222" s="128">
        <f t="shared" si="39"/>
        <v>2</v>
      </c>
      <c r="O222" s="128">
        <f t="shared" si="37"/>
        <v>2</v>
      </c>
      <c r="P222" s="129">
        <f t="shared" si="42"/>
        <v>0</v>
      </c>
    </row>
    <row r="223" spans="2:16" outlineLevel="1" x14ac:dyDescent="0.2">
      <c r="B223" s="120"/>
      <c r="C223" s="68"/>
      <c r="D223" s="68"/>
      <c r="E223" s="69"/>
      <c r="F223" s="68" t="s">
        <v>295</v>
      </c>
      <c r="G223" s="131">
        <v>0</v>
      </c>
      <c r="H223" s="78" t="s">
        <v>8</v>
      </c>
      <c r="I223" s="121"/>
      <c r="J223" s="89"/>
      <c r="K223" s="71"/>
      <c r="L223" s="80">
        <v>25</v>
      </c>
      <c r="M223" s="93"/>
      <c r="N223" s="128">
        <f t="shared" si="39"/>
        <v>25</v>
      </c>
      <c r="O223" s="128">
        <f t="shared" si="37"/>
        <v>25</v>
      </c>
      <c r="P223" s="129">
        <f t="shared" si="42"/>
        <v>0</v>
      </c>
    </row>
    <row r="224" spans="2:16" outlineLevel="1" x14ac:dyDescent="0.2">
      <c r="B224" s="120"/>
      <c r="C224" s="68"/>
      <c r="D224" s="68"/>
      <c r="E224" s="77" t="s">
        <v>205</v>
      </c>
      <c r="F224" s="70"/>
      <c r="G224" s="122"/>
      <c r="H224" s="78"/>
      <c r="I224" s="89"/>
      <c r="J224" s="89"/>
      <c r="K224" s="71"/>
      <c r="L224" s="80"/>
      <c r="M224" s="93"/>
      <c r="N224" s="128">
        <f t="shared" si="39"/>
        <v>0</v>
      </c>
      <c r="O224" s="121"/>
      <c r="P224" s="124"/>
    </row>
    <row r="225" spans="2:16" outlineLevel="1" x14ac:dyDescent="0.2">
      <c r="B225" s="120"/>
      <c r="C225" s="68"/>
      <c r="D225" s="68"/>
      <c r="E225" s="69"/>
      <c r="F225" s="68" t="s">
        <v>206</v>
      </c>
      <c r="G225" s="131">
        <v>0</v>
      </c>
      <c r="H225" s="78" t="s">
        <v>1</v>
      </c>
      <c r="I225" s="121"/>
      <c r="J225" s="89"/>
      <c r="K225" s="71" t="s">
        <v>207</v>
      </c>
      <c r="L225" s="80">
        <v>16.34</v>
      </c>
      <c r="M225" s="93"/>
      <c r="N225" s="128">
        <f t="shared" si="39"/>
        <v>16.34</v>
      </c>
      <c r="O225" s="128">
        <f t="shared" si="37"/>
        <v>16.34</v>
      </c>
      <c r="P225" s="129">
        <f t="shared" ref="P225:P232" si="43">G225*O225</f>
        <v>0</v>
      </c>
    </row>
    <row r="226" spans="2:16" outlineLevel="1" x14ac:dyDescent="0.2">
      <c r="B226" s="120"/>
      <c r="C226" s="68"/>
      <c r="D226" s="68"/>
      <c r="E226" s="69"/>
      <c r="F226" s="68" t="s">
        <v>208</v>
      </c>
      <c r="G226" s="131">
        <v>0</v>
      </c>
      <c r="H226" s="78" t="s">
        <v>1</v>
      </c>
      <c r="I226" s="121"/>
      <c r="J226" s="89"/>
      <c r="K226" s="71" t="s">
        <v>207</v>
      </c>
      <c r="L226" s="80">
        <v>16.34</v>
      </c>
      <c r="M226" s="93"/>
      <c r="N226" s="128">
        <f t="shared" si="39"/>
        <v>16.34</v>
      </c>
      <c r="O226" s="128">
        <f t="shared" si="37"/>
        <v>16.34</v>
      </c>
      <c r="P226" s="129">
        <f t="shared" si="43"/>
        <v>0</v>
      </c>
    </row>
    <row r="227" spans="2:16" outlineLevel="1" x14ac:dyDescent="0.2">
      <c r="B227" s="120"/>
      <c r="C227" s="68"/>
      <c r="D227" s="68"/>
      <c r="E227" s="69"/>
      <c r="F227" s="68" t="s">
        <v>209</v>
      </c>
      <c r="G227" s="131">
        <v>0</v>
      </c>
      <c r="H227" s="78" t="s">
        <v>1</v>
      </c>
      <c r="I227" s="121"/>
      <c r="J227" s="89"/>
      <c r="K227" s="71"/>
      <c r="L227" s="80">
        <v>20</v>
      </c>
      <c r="M227" s="93"/>
      <c r="N227" s="128">
        <f t="shared" si="39"/>
        <v>20</v>
      </c>
      <c r="O227" s="128">
        <f t="shared" si="37"/>
        <v>20</v>
      </c>
      <c r="P227" s="129">
        <f t="shared" si="43"/>
        <v>0</v>
      </c>
    </row>
    <row r="228" spans="2:16" outlineLevel="1" x14ac:dyDescent="0.2">
      <c r="B228" s="120"/>
      <c r="C228" s="68"/>
      <c r="D228" s="68"/>
      <c r="E228" s="69"/>
      <c r="F228" s="68" t="s">
        <v>201</v>
      </c>
      <c r="G228" s="131">
        <v>0</v>
      </c>
      <c r="H228" s="78" t="s">
        <v>1</v>
      </c>
      <c r="I228" s="121"/>
      <c r="J228" s="89"/>
      <c r="K228" s="71" t="s">
        <v>202</v>
      </c>
      <c r="L228" s="80">
        <v>34.14</v>
      </c>
      <c r="M228" s="93"/>
      <c r="N228" s="128">
        <f t="shared" si="39"/>
        <v>34.14</v>
      </c>
      <c r="O228" s="128">
        <f t="shared" si="37"/>
        <v>34.14</v>
      </c>
      <c r="P228" s="129">
        <f t="shared" si="43"/>
        <v>0</v>
      </c>
    </row>
    <row r="229" spans="2:16" outlineLevel="1" x14ac:dyDescent="0.2">
      <c r="B229" s="120"/>
      <c r="C229" s="68"/>
      <c r="D229" s="68"/>
      <c r="E229" s="69"/>
      <c r="F229" s="68" t="s">
        <v>449</v>
      </c>
      <c r="G229" s="131">
        <v>0</v>
      </c>
      <c r="H229" s="78" t="s">
        <v>75</v>
      </c>
      <c r="I229" s="121"/>
      <c r="J229" s="89"/>
      <c r="K229" s="71" t="s">
        <v>200</v>
      </c>
      <c r="L229" s="80">
        <v>6.5</v>
      </c>
      <c r="M229" s="93"/>
      <c r="N229" s="128">
        <f t="shared" si="39"/>
        <v>6.5</v>
      </c>
      <c r="O229" s="128">
        <f t="shared" si="37"/>
        <v>6.5</v>
      </c>
      <c r="P229" s="129">
        <f t="shared" si="43"/>
        <v>0</v>
      </c>
    </row>
    <row r="230" spans="2:16" outlineLevel="1" x14ac:dyDescent="0.2">
      <c r="B230" s="120"/>
      <c r="C230" s="68"/>
      <c r="D230" s="68"/>
      <c r="E230" s="69"/>
      <c r="F230" s="68" t="s">
        <v>162</v>
      </c>
      <c r="G230" s="122">
        <f>G229</f>
        <v>0</v>
      </c>
      <c r="H230" s="78" t="s">
        <v>75</v>
      </c>
      <c r="I230" s="121"/>
      <c r="J230" s="89"/>
      <c r="K230" s="132" t="s">
        <v>163</v>
      </c>
      <c r="L230" s="80">
        <v>2</v>
      </c>
      <c r="M230" s="93"/>
      <c r="N230" s="128">
        <f t="shared" si="39"/>
        <v>2</v>
      </c>
      <c r="O230" s="128">
        <f t="shared" si="37"/>
        <v>2</v>
      </c>
      <c r="P230" s="129">
        <f t="shared" si="43"/>
        <v>0</v>
      </c>
    </row>
    <row r="231" spans="2:16" outlineLevel="1" x14ac:dyDescent="0.2">
      <c r="B231" s="120"/>
      <c r="C231" s="68"/>
      <c r="D231" s="68"/>
      <c r="E231" s="69"/>
      <c r="F231" s="68" t="s">
        <v>203</v>
      </c>
      <c r="G231" s="122">
        <f>3*G225+5*G226+3*G227+3*G228</f>
        <v>0</v>
      </c>
      <c r="H231" s="78" t="s">
        <v>1</v>
      </c>
      <c r="I231" s="121"/>
      <c r="J231" s="89"/>
      <c r="K231" s="71" t="s">
        <v>204</v>
      </c>
      <c r="L231" s="80">
        <v>2</v>
      </c>
      <c r="M231" s="93"/>
      <c r="N231" s="128">
        <f t="shared" si="39"/>
        <v>2</v>
      </c>
      <c r="O231" s="128">
        <f t="shared" si="37"/>
        <v>2</v>
      </c>
      <c r="P231" s="129">
        <f t="shared" si="43"/>
        <v>0</v>
      </c>
    </row>
    <row r="232" spans="2:16" outlineLevel="1" x14ac:dyDescent="0.2">
      <c r="B232" s="120"/>
      <c r="C232" s="68"/>
      <c r="D232" s="68"/>
      <c r="E232" s="69"/>
      <c r="F232" s="68" t="s">
        <v>295</v>
      </c>
      <c r="G232" s="131">
        <v>0</v>
      </c>
      <c r="H232" s="78" t="s">
        <v>8</v>
      </c>
      <c r="I232" s="121"/>
      <c r="J232" s="89"/>
      <c r="K232" s="71"/>
      <c r="L232" s="80">
        <v>25</v>
      </c>
      <c r="M232" s="93"/>
      <c r="N232" s="128">
        <f t="shared" si="39"/>
        <v>25</v>
      </c>
      <c r="O232" s="128">
        <f t="shared" si="37"/>
        <v>25</v>
      </c>
      <c r="P232" s="129">
        <f t="shared" si="43"/>
        <v>0</v>
      </c>
    </row>
    <row r="233" spans="2:16" outlineLevel="1" x14ac:dyDescent="0.2">
      <c r="B233" s="133"/>
      <c r="C233" s="95"/>
      <c r="D233" s="95"/>
      <c r="E233" s="77" t="s">
        <v>439</v>
      </c>
      <c r="F233" s="68"/>
      <c r="G233" s="92"/>
      <c r="H233" s="78"/>
      <c r="I233" s="89"/>
      <c r="J233" s="89"/>
      <c r="K233" s="71"/>
      <c r="L233" s="80"/>
      <c r="M233" s="93"/>
      <c r="N233" s="128">
        <f t="shared" si="39"/>
        <v>0</v>
      </c>
      <c r="O233" s="71"/>
      <c r="P233" s="134"/>
    </row>
    <row r="234" spans="2:16" outlineLevel="1" x14ac:dyDescent="0.2">
      <c r="B234" s="133"/>
      <c r="C234" s="95"/>
      <c r="D234" s="95"/>
      <c r="E234" s="77"/>
      <c r="F234" s="68" t="s">
        <v>310</v>
      </c>
      <c r="G234" s="212">
        <v>0</v>
      </c>
      <c r="H234" s="78" t="s">
        <v>1</v>
      </c>
      <c r="I234" s="71"/>
      <c r="J234" s="89"/>
      <c r="K234" s="71" t="s">
        <v>311</v>
      </c>
      <c r="L234" s="80">
        <f>588.92/1.19*1.1</f>
        <v>544.37983193277307</v>
      </c>
      <c r="M234" s="94"/>
      <c r="N234" s="128">
        <f t="shared" si="39"/>
        <v>544.37983193277307</v>
      </c>
      <c r="O234" s="91">
        <f t="shared" ref="O234:O250" si="44">N234</f>
        <v>544.37983193277307</v>
      </c>
      <c r="P234" s="135">
        <f t="shared" ref="P234:P250" si="45">G234*O234</f>
        <v>0</v>
      </c>
    </row>
    <row r="235" spans="2:16" outlineLevel="1" x14ac:dyDescent="0.2">
      <c r="B235" s="133"/>
      <c r="C235" s="95"/>
      <c r="D235" s="95"/>
      <c r="E235" s="77"/>
      <c r="F235" s="68" t="s">
        <v>312</v>
      </c>
      <c r="G235" s="212">
        <v>0</v>
      </c>
      <c r="H235" s="78" t="s">
        <v>1</v>
      </c>
      <c r="I235" s="71"/>
      <c r="J235" s="89"/>
      <c r="K235" s="71" t="s">
        <v>311</v>
      </c>
      <c r="L235" s="80">
        <f>588.92/1.19*1.1</f>
        <v>544.37983193277307</v>
      </c>
      <c r="M235" s="94"/>
      <c r="N235" s="128">
        <f t="shared" si="39"/>
        <v>544.37983193277307</v>
      </c>
      <c r="O235" s="91">
        <f t="shared" si="44"/>
        <v>544.37983193277307</v>
      </c>
      <c r="P235" s="135">
        <f t="shared" si="45"/>
        <v>0</v>
      </c>
    </row>
    <row r="236" spans="2:16" outlineLevel="1" x14ac:dyDescent="0.2">
      <c r="B236" s="133"/>
      <c r="C236" s="95"/>
      <c r="D236" s="95"/>
      <c r="E236" s="77"/>
      <c r="F236" s="68" t="s">
        <v>313</v>
      </c>
      <c r="G236" s="212">
        <v>0</v>
      </c>
      <c r="H236" s="78" t="s">
        <v>1</v>
      </c>
      <c r="I236" s="71"/>
      <c r="J236" s="89"/>
      <c r="K236" s="71" t="s">
        <v>314</v>
      </c>
      <c r="L236" s="80">
        <f>927.47/1.19*1.1</f>
        <v>857.32521008403364</v>
      </c>
      <c r="M236" s="94"/>
      <c r="N236" s="128">
        <f t="shared" si="39"/>
        <v>857.32521008403364</v>
      </c>
      <c r="O236" s="91">
        <f t="shared" si="44"/>
        <v>857.32521008403364</v>
      </c>
      <c r="P236" s="135">
        <f t="shared" si="45"/>
        <v>0</v>
      </c>
    </row>
    <row r="237" spans="2:16" outlineLevel="1" x14ac:dyDescent="0.2">
      <c r="B237" s="133"/>
      <c r="C237" s="95"/>
      <c r="D237" s="95"/>
      <c r="E237" s="77"/>
      <c r="F237" s="68" t="s">
        <v>461</v>
      </c>
      <c r="G237" s="212">
        <v>0</v>
      </c>
      <c r="H237" s="78" t="s">
        <v>1</v>
      </c>
      <c r="I237" s="71"/>
      <c r="J237" s="89"/>
      <c r="K237" s="71" t="s">
        <v>315</v>
      </c>
      <c r="L237" s="80">
        <f>123.22/1.19*1.1</f>
        <v>113.90084033613448</v>
      </c>
      <c r="M237" s="94"/>
      <c r="N237" s="128">
        <f t="shared" si="39"/>
        <v>113.90084033613448</v>
      </c>
      <c r="O237" s="91">
        <f t="shared" si="44"/>
        <v>113.90084033613448</v>
      </c>
      <c r="P237" s="135">
        <f t="shared" si="45"/>
        <v>0</v>
      </c>
    </row>
    <row r="238" spans="2:16" outlineLevel="1" x14ac:dyDescent="0.2">
      <c r="B238" s="133"/>
      <c r="C238" s="95"/>
      <c r="D238" s="95"/>
      <c r="E238" s="77"/>
      <c r="F238" s="68" t="s">
        <v>449</v>
      </c>
      <c r="G238" s="212">
        <v>0</v>
      </c>
      <c r="H238" s="78" t="s">
        <v>75</v>
      </c>
      <c r="I238" s="71"/>
      <c r="J238" s="89"/>
      <c r="K238" s="71" t="s">
        <v>200</v>
      </c>
      <c r="L238" s="80">
        <v>6.5</v>
      </c>
      <c r="M238" s="94"/>
      <c r="N238" s="128">
        <f t="shared" si="39"/>
        <v>6.5</v>
      </c>
      <c r="O238" s="91">
        <f t="shared" si="44"/>
        <v>6.5</v>
      </c>
      <c r="P238" s="135">
        <f t="shared" si="45"/>
        <v>0</v>
      </c>
    </row>
    <row r="239" spans="2:16" outlineLevel="1" x14ac:dyDescent="0.2">
      <c r="B239" s="133"/>
      <c r="C239" s="95"/>
      <c r="D239" s="95"/>
      <c r="E239" s="77"/>
      <c r="F239" s="68" t="s">
        <v>316</v>
      </c>
      <c r="G239" s="92">
        <f>G238</f>
        <v>0</v>
      </c>
      <c r="H239" s="78" t="s">
        <v>75</v>
      </c>
      <c r="I239" s="71"/>
      <c r="J239" s="89"/>
      <c r="K239" s="71"/>
      <c r="L239" s="80">
        <f>1.04/1.19</f>
        <v>0.87394957983193289</v>
      </c>
      <c r="M239" s="94"/>
      <c r="N239" s="128">
        <f t="shared" si="39"/>
        <v>0.87394957983193289</v>
      </c>
      <c r="O239" s="91">
        <f t="shared" si="44"/>
        <v>0.87394957983193289</v>
      </c>
      <c r="P239" s="135">
        <f t="shared" si="45"/>
        <v>0</v>
      </c>
    </row>
    <row r="240" spans="2:16" outlineLevel="1" x14ac:dyDescent="0.2">
      <c r="B240" s="133"/>
      <c r="C240" s="95"/>
      <c r="D240" s="95"/>
      <c r="E240" s="77"/>
      <c r="F240" s="68" t="s">
        <v>203</v>
      </c>
      <c r="G240" s="92">
        <f>3*G234+5*G235+3*G236+3*G237</f>
        <v>0</v>
      </c>
      <c r="H240" s="78" t="s">
        <v>1</v>
      </c>
      <c r="I240" s="71"/>
      <c r="J240" s="89"/>
      <c r="K240" s="71"/>
      <c r="L240" s="80">
        <v>2</v>
      </c>
      <c r="M240" s="94"/>
      <c r="N240" s="128">
        <f t="shared" ref="N240:N260" si="46">L240*M$173</f>
        <v>2</v>
      </c>
      <c r="O240" s="91">
        <f t="shared" si="44"/>
        <v>2</v>
      </c>
      <c r="P240" s="135">
        <f t="shared" si="45"/>
        <v>0</v>
      </c>
    </row>
    <row r="241" spans="2:16" outlineLevel="1" x14ac:dyDescent="0.2">
      <c r="B241" s="133"/>
      <c r="C241" s="95"/>
      <c r="D241" s="95"/>
      <c r="E241" s="77"/>
      <c r="F241" s="68" t="s">
        <v>317</v>
      </c>
      <c r="G241" s="212">
        <v>0</v>
      </c>
      <c r="H241" s="78" t="s">
        <v>1</v>
      </c>
      <c r="I241" s="71"/>
      <c r="J241" s="89"/>
      <c r="K241" s="71" t="s">
        <v>318</v>
      </c>
      <c r="L241" s="80">
        <f>746.45/1.19*1.1</f>
        <v>689.99579831932795</v>
      </c>
      <c r="M241" s="94"/>
      <c r="N241" s="128">
        <f t="shared" si="46"/>
        <v>689.99579831932795</v>
      </c>
      <c r="O241" s="91">
        <f t="shared" si="44"/>
        <v>689.99579831932795</v>
      </c>
      <c r="P241" s="135">
        <f t="shared" si="45"/>
        <v>0</v>
      </c>
    </row>
    <row r="242" spans="2:16" outlineLevel="1" x14ac:dyDescent="0.2">
      <c r="B242" s="133"/>
      <c r="C242" s="95"/>
      <c r="D242" s="95"/>
      <c r="E242" s="77"/>
      <c r="F242" s="68" t="s">
        <v>319</v>
      </c>
      <c r="G242" s="212">
        <v>0</v>
      </c>
      <c r="H242" s="78" t="s">
        <v>1</v>
      </c>
      <c r="I242" s="71"/>
      <c r="J242" s="89"/>
      <c r="K242" s="71" t="s">
        <v>320</v>
      </c>
      <c r="L242" s="80">
        <f>636.68/1.19*1.1</f>
        <v>588.52773109243697</v>
      </c>
      <c r="M242" s="94"/>
      <c r="N242" s="128">
        <f t="shared" si="46"/>
        <v>588.52773109243697</v>
      </c>
      <c r="O242" s="91">
        <f t="shared" si="44"/>
        <v>588.52773109243697</v>
      </c>
      <c r="P242" s="135">
        <f t="shared" si="45"/>
        <v>0</v>
      </c>
    </row>
    <row r="243" spans="2:16" outlineLevel="1" x14ac:dyDescent="0.2">
      <c r="B243" s="133"/>
      <c r="C243" s="95"/>
      <c r="D243" s="95"/>
      <c r="E243" s="77"/>
      <c r="F243" s="68" t="s">
        <v>188</v>
      </c>
      <c r="G243" s="212">
        <v>0</v>
      </c>
      <c r="H243" s="78" t="s">
        <v>1</v>
      </c>
      <c r="I243" s="71"/>
      <c r="J243" s="89"/>
      <c r="K243" s="71" t="s">
        <v>321</v>
      </c>
      <c r="L243" s="80">
        <f>364</f>
        <v>364</v>
      </c>
      <c r="M243" s="94"/>
      <c r="N243" s="128">
        <f t="shared" si="46"/>
        <v>364</v>
      </c>
      <c r="O243" s="91">
        <f t="shared" si="44"/>
        <v>364</v>
      </c>
      <c r="P243" s="135">
        <f t="shared" si="45"/>
        <v>0</v>
      </c>
    </row>
    <row r="244" spans="2:16" outlineLevel="1" x14ac:dyDescent="0.2">
      <c r="B244" s="133"/>
      <c r="C244" s="95"/>
      <c r="D244" s="95"/>
      <c r="E244" s="77"/>
      <c r="F244" s="68" t="s">
        <v>190</v>
      </c>
      <c r="G244" s="212">
        <v>0</v>
      </c>
      <c r="H244" s="78" t="s">
        <v>1</v>
      </c>
      <c r="I244" s="71"/>
      <c r="J244" s="89"/>
      <c r="K244" s="71" t="s">
        <v>321</v>
      </c>
      <c r="L244" s="80">
        <f>364</f>
        <v>364</v>
      </c>
      <c r="M244" s="94"/>
      <c r="N244" s="128">
        <f t="shared" si="46"/>
        <v>364</v>
      </c>
      <c r="O244" s="91">
        <f t="shared" si="44"/>
        <v>364</v>
      </c>
      <c r="P244" s="135">
        <f t="shared" si="45"/>
        <v>0</v>
      </c>
    </row>
    <row r="245" spans="2:16" outlineLevel="1" x14ac:dyDescent="0.2">
      <c r="B245" s="133"/>
      <c r="C245" s="95"/>
      <c r="D245" s="95"/>
      <c r="E245" s="77"/>
      <c r="F245" s="68" t="s">
        <v>488</v>
      </c>
      <c r="G245" s="212">
        <v>0</v>
      </c>
      <c r="H245" s="78" t="s">
        <v>1</v>
      </c>
      <c r="I245" s="71"/>
      <c r="J245" s="89"/>
      <c r="K245" s="71"/>
      <c r="L245" s="80">
        <v>1000</v>
      </c>
      <c r="M245" s="94"/>
      <c r="N245" s="128">
        <f t="shared" si="46"/>
        <v>1000</v>
      </c>
      <c r="O245" s="91">
        <f t="shared" si="44"/>
        <v>1000</v>
      </c>
      <c r="P245" s="135">
        <f t="shared" si="45"/>
        <v>0</v>
      </c>
    </row>
    <row r="246" spans="2:16" outlineLevel="1" x14ac:dyDescent="0.2">
      <c r="B246" s="133"/>
      <c r="C246" s="95"/>
      <c r="D246" s="95"/>
      <c r="E246" s="77"/>
      <c r="F246" s="68" t="s">
        <v>316</v>
      </c>
      <c r="G246" s="212">
        <v>0</v>
      </c>
      <c r="H246" s="78" t="s">
        <v>75</v>
      </c>
      <c r="I246" s="71"/>
      <c r="J246" s="89"/>
      <c r="K246" s="71"/>
      <c r="L246" s="80">
        <f>1.04/1.19</f>
        <v>0.87394957983193289</v>
      </c>
      <c r="M246" s="94"/>
      <c r="N246" s="128">
        <f t="shared" si="46"/>
        <v>0.87394957983193289</v>
      </c>
      <c r="O246" s="91">
        <f t="shared" si="44"/>
        <v>0.87394957983193289</v>
      </c>
      <c r="P246" s="135">
        <f t="shared" si="45"/>
        <v>0</v>
      </c>
    </row>
    <row r="247" spans="2:16" outlineLevel="1" x14ac:dyDescent="0.2">
      <c r="B247" s="133"/>
      <c r="C247" s="95"/>
      <c r="D247" s="95"/>
      <c r="E247" s="77"/>
      <c r="F247" s="68" t="s">
        <v>449</v>
      </c>
      <c r="G247" s="92">
        <f>G246</f>
        <v>0</v>
      </c>
      <c r="H247" s="78" t="s">
        <v>75</v>
      </c>
      <c r="I247" s="71"/>
      <c r="J247" s="89"/>
      <c r="K247" s="71" t="s">
        <v>200</v>
      </c>
      <c r="L247" s="80">
        <v>6.5</v>
      </c>
      <c r="M247" s="94"/>
      <c r="N247" s="128">
        <f t="shared" si="46"/>
        <v>6.5</v>
      </c>
      <c r="O247" s="91">
        <f t="shared" si="44"/>
        <v>6.5</v>
      </c>
      <c r="P247" s="135">
        <f t="shared" si="45"/>
        <v>0</v>
      </c>
    </row>
    <row r="248" spans="2:16" outlineLevel="1" x14ac:dyDescent="0.2">
      <c r="B248" s="133"/>
      <c r="C248" s="95"/>
      <c r="D248" s="95"/>
      <c r="E248" s="77"/>
      <c r="F248" s="68" t="s">
        <v>461</v>
      </c>
      <c r="G248" s="212">
        <v>0</v>
      </c>
      <c r="H248" s="78" t="s">
        <v>1</v>
      </c>
      <c r="I248" s="71"/>
      <c r="J248" s="89"/>
      <c r="K248" s="71" t="s">
        <v>315</v>
      </c>
      <c r="L248" s="80">
        <f>123.22/1.19*1.1</f>
        <v>113.90084033613448</v>
      </c>
      <c r="M248" s="94"/>
      <c r="N248" s="128">
        <f t="shared" si="46"/>
        <v>113.90084033613448</v>
      </c>
      <c r="O248" s="91">
        <f t="shared" si="44"/>
        <v>113.90084033613448</v>
      </c>
      <c r="P248" s="135">
        <f t="shared" si="45"/>
        <v>0</v>
      </c>
    </row>
    <row r="249" spans="2:16" outlineLevel="1" x14ac:dyDescent="0.2">
      <c r="B249" s="133"/>
      <c r="C249" s="95"/>
      <c r="D249" s="95"/>
      <c r="E249" s="77"/>
      <c r="F249" s="68" t="s">
        <v>203</v>
      </c>
      <c r="G249" s="92">
        <f>(G241+G242+G243+G244)*2*2</f>
        <v>0</v>
      </c>
      <c r="H249" s="78" t="s">
        <v>1</v>
      </c>
      <c r="I249" s="71"/>
      <c r="J249" s="89"/>
      <c r="K249" s="71"/>
      <c r="L249" s="80">
        <v>2</v>
      </c>
      <c r="M249" s="94"/>
      <c r="N249" s="128">
        <f t="shared" si="46"/>
        <v>2</v>
      </c>
      <c r="O249" s="91">
        <f t="shared" si="44"/>
        <v>2</v>
      </c>
      <c r="P249" s="135">
        <f t="shared" si="45"/>
        <v>0</v>
      </c>
    </row>
    <row r="250" spans="2:16" outlineLevel="1" x14ac:dyDescent="0.2">
      <c r="B250" s="133"/>
      <c r="C250" s="95"/>
      <c r="D250" s="95"/>
      <c r="E250" s="77"/>
      <c r="F250" s="68" t="s">
        <v>295</v>
      </c>
      <c r="G250" s="212">
        <v>0</v>
      </c>
      <c r="H250" s="78" t="s">
        <v>8</v>
      </c>
      <c r="I250" s="71"/>
      <c r="J250" s="89"/>
      <c r="K250" s="71"/>
      <c r="L250" s="80">
        <v>25</v>
      </c>
      <c r="M250" s="94"/>
      <c r="N250" s="128">
        <f t="shared" si="46"/>
        <v>25</v>
      </c>
      <c r="O250" s="91">
        <f t="shared" si="44"/>
        <v>25</v>
      </c>
      <c r="P250" s="135">
        <f t="shared" si="45"/>
        <v>0</v>
      </c>
    </row>
    <row r="251" spans="2:16" outlineLevel="1" x14ac:dyDescent="0.2">
      <c r="B251" s="120"/>
      <c r="C251" s="68"/>
      <c r="D251" s="68"/>
      <c r="E251" s="77" t="s">
        <v>528</v>
      </c>
      <c r="F251" s="68"/>
      <c r="G251" s="122"/>
      <c r="H251" s="123"/>
      <c r="I251" s="89"/>
      <c r="J251" s="89"/>
      <c r="K251" s="71"/>
      <c r="L251" s="127"/>
      <c r="M251" s="93"/>
      <c r="N251" s="128">
        <f t="shared" si="46"/>
        <v>0</v>
      </c>
      <c r="O251" s="121"/>
      <c r="P251" s="124"/>
    </row>
    <row r="252" spans="2:16" outlineLevel="1" x14ac:dyDescent="0.2">
      <c r="B252" s="120"/>
      <c r="C252" s="68"/>
      <c r="D252" s="68"/>
      <c r="E252" s="77"/>
      <c r="F252" s="68" t="s">
        <v>280</v>
      </c>
      <c r="G252" s="212">
        <v>0</v>
      </c>
      <c r="H252" s="123" t="s">
        <v>1</v>
      </c>
      <c r="I252" s="121"/>
      <c r="J252" s="89"/>
      <c r="K252" s="132" t="s">
        <v>389</v>
      </c>
      <c r="L252" s="127">
        <f>329/1.19*1.1</f>
        <v>304.11764705882359</v>
      </c>
      <c r="M252" s="93"/>
      <c r="N252" s="128">
        <f t="shared" si="46"/>
        <v>304.11764705882359</v>
      </c>
      <c r="O252" s="128">
        <f t="shared" ref="O252:O260" si="47">N252</f>
        <v>304.11764705882359</v>
      </c>
      <c r="P252" s="129">
        <f t="shared" ref="P252:P260" si="48">G252*O252</f>
        <v>0</v>
      </c>
    </row>
    <row r="253" spans="2:16" outlineLevel="1" x14ac:dyDescent="0.2">
      <c r="B253" s="120"/>
      <c r="C253" s="68"/>
      <c r="D253" s="68"/>
      <c r="E253" s="77"/>
      <c r="F253" s="68" t="s">
        <v>281</v>
      </c>
      <c r="G253" s="212">
        <v>0</v>
      </c>
      <c r="H253" s="123" t="s">
        <v>1</v>
      </c>
      <c r="I253" s="121"/>
      <c r="J253" s="89"/>
      <c r="K253" s="71" t="s">
        <v>390</v>
      </c>
      <c r="L253" s="127">
        <f>199/1.19*1.1</f>
        <v>183.94957983193279</v>
      </c>
      <c r="M253" s="93"/>
      <c r="N253" s="128">
        <f t="shared" si="46"/>
        <v>183.94957983193279</v>
      </c>
      <c r="O253" s="128">
        <f t="shared" si="47"/>
        <v>183.94957983193279</v>
      </c>
      <c r="P253" s="129">
        <f t="shared" si="48"/>
        <v>0</v>
      </c>
    </row>
    <row r="254" spans="2:16" outlineLevel="1" x14ac:dyDescent="0.2">
      <c r="B254" s="120"/>
      <c r="C254" s="68"/>
      <c r="D254" s="68"/>
      <c r="E254" s="69"/>
      <c r="F254" s="68" t="s">
        <v>198</v>
      </c>
      <c r="G254" s="212">
        <v>0</v>
      </c>
      <c r="H254" s="78" t="s">
        <v>75</v>
      </c>
      <c r="I254" s="121"/>
      <c r="J254" s="89"/>
      <c r="K254" s="71" t="s">
        <v>199</v>
      </c>
      <c r="L254" s="80">
        <v>1.25</v>
      </c>
      <c r="M254" s="93"/>
      <c r="N254" s="128">
        <f t="shared" si="46"/>
        <v>1.25</v>
      </c>
      <c r="O254" s="128">
        <f t="shared" si="47"/>
        <v>1.25</v>
      </c>
      <c r="P254" s="129">
        <f t="shared" si="48"/>
        <v>0</v>
      </c>
    </row>
    <row r="255" spans="2:16" outlineLevel="1" x14ac:dyDescent="0.2">
      <c r="B255" s="120"/>
      <c r="C255" s="68"/>
      <c r="D255" s="68"/>
      <c r="E255" s="69"/>
      <c r="F255" s="68" t="s">
        <v>448</v>
      </c>
      <c r="G255" s="92">
        <f>G254</f>
        <v>0</v>
      </c>
      <c r="H255" s="78" t="s">
        <v>75</v>
      </c>
      <c r="I255" s="121"/>
      <c r="J255" s="89"/>
      <c r="K255" s="71" t="s">
        <v>200</v>
      </c>
      <c r="L255" s="127">
        <v>5</v>
      </c>
      <c r="M255" s="93"/>
      <c r="N255" s="128">
        <f t="shared" si="46"/>
        <v>5</v>
      </c>
      <c r="O255" s="128">
        <f t="shared" si="47"/>
        <v>5</v>
      </c>
      <c r="P255" s="129">
        <f t="shared" si="48"/>
        <v>0</v>
      </c>
    </row>
    <row r="256" spans="2:16" outlineLevel="1" x14ac:dyDescent="0.2">
      <c r="B256" s="120"/>
      <c r="C256" s="68"/>
      <c r="D256" s="68"/>
      <c r="E256" s="69"/>
      <c r="F256" s="68" t="s">
        <v>198</v>
      </c>
      <c r="G256" s="212">
        <v>0</v>
      </c>
      <c r="H256" s="78" t="s">
        <v>75</v>
      </c>
      <c r="I256" s="121"/>
      <c r="J256" s="89"/>
      <c r="K256" s="71" t="s">
        <v>199</v>
      </c>
      <c r="L256" s="80">
        <v>1.25</v>
      </c>
      <c r="M256" s="93"/>
      <c r="N256" s="128">
        <f t="shared" si="46"/>
        <v>1.25</v>
      </c>
      <c r="O256" s="128">
        <f t="shared" si="47"/>
        <v>1.25</v>
      </c>
      <c r="P256" s="129">
        <f t="shared" si="48"/>
        <v>0</v>
      </c>
    </row>
    <row r="257" spans="1:16" outlineLevel="1" x14ac:dyDescent="0.2">
      <c r="B257" s="120"/>
      <c r="C257" s="68"/>
      <c r="D257" s="68"/>
      <c r="E257" s="69"/>
      <c r="F257" s="68" t="s">
        <v>448</v>
      </c>
      <c r="G257" s="92">
        <f>G256</f>
        <v>0</v>
      </c>
      <c r="H257" s="78" t="s">
        <v>75</v>
      </c>
      <c r="I257" s="121"/>
      <c r="J257" s="89"/>
      <c r="K257" s="71" t="s">
        <v>200</v>
      </c>
      <c r="L257" s="127">
        <v>5</v>
      </c>
      <c r="M257" s="93"/>
      <c r="N257" s="128">
        <f t="shared" si="46"/>
        <v>5</v>
      </c>
      <c r="O257" s="128">
        <f t="shared" si="47"/>
        <v>5</v>
      </c>
      <c r="P257" s="129">
        <f t="shared" si="48"/>
        <v>0</v>
      </c>
    </row>
    <row r="258" spans="1:16" outlineLevel="1" x14ac:dyDescent="0.2">
      <c r="B258" s="120"/>
      <c r="C258" s="68"/>
      <c r="D258" s="68"/>
      <c r="E258" s="69"/>
      <c r="F258" s="68" t="s">
        <v>201</v>
      </c>
      <c r="G258" s="212">
        <v>0</v>
      </c>
      <c r="H258" s="78" t="s">
        <v>1</v>
      </c>
      <c r="I258" s="121"/>
      <c r="J258" s="89"/>
      <c r="K258" s="71" t="s">
        <v>202</v>
      </c>
      <c r="L258" s="80">
        <v>34.14</v>
      </c>
      <c r="M258" s="93"/>
      <c r="N258" s="128">
        <f t="shared" si="46"/>
        <v>34.14</v>
      </c>
      <c r="O258" s="128">
        <f t="shared" si="47"/>
        <v>34.14</v>
      </c>
      <c r="P258" s="129">
        <f t="shared" si="48"/>
        <v>0</v>
      </c>
    </row>
    <row r="259" spans="1:16" outlineLevel="1" x14ac:dyDescent="0.2">
      <c r="B259" s="120"/>
      <c r="C259" s="68"/>
      <c r="D259" s="68"/>
      <c r="E259" s="69"/>
      <c r="F259" s="68" t="s">
        <v>203</v>
      </c>
      <c r="G259" s="92">
        <f>(G252+G253)*2*2</f>
        <v>0</v>
      </c>
      <c r="H259" s="78" t="s">
        <v>1</v>
      </c>
      <c r="I259" s="121"/>
      <c r="J259" s="89"/>
      <c r="K259" s="71"/>
      <c r="L259" s="127">
        <v>2</v>
      </c>
      <c r="M259" s="93"/>
      <c r="N259" s="128">
        <f t="shared" si="46"/>
        <v>2</v>
      </c>
      <c r="O259" s="128">
        <f t="shared" si="47"/>
        <v>2</v>
      </c>
      <c r="P259" s="129">
        <f t="shared" si="48"/>
        <v>0</v>
      </c>
    </row>
    <row r="260" spans="1:16" outlineLevel="1" x14ac:dyDescent="0.2">
      <c r="B260" s="120"/>
      <c r="C260" s="68"/>
      <c r="D260" s="68"/>
      <c r="E260" s="69"/>
      <c r="F260" s="68" t="s">
        <v>295</v>
      </c>
      <c r="G260" s="212">
        <v>0</v>
      </c>
      <c r="H260" s="78" t="s">
        <v>8</v>
      </c>
      <c r="I260" s="121"/>
      <c r="J260" s="89"/>
      <c r="K260" s="71"/>
      <c r="L260" s="127">
        <v>25</v>
      </c>
      <c r="M260" s="93"/>
      <c r="N260" s="128">
        <f t="shared" si="46"/>
        <v>25</v>
      </c>
      <c r="O260" s="128">
        <f t="shared" si="47"/>
        <v>25</v>
      </c>
      <c r="P260" s="129">
        <f t="shared" si="48"/>
        <v>0</v>
      </c>
    </row>
    <row r="261" spans="1:16" s="153" customFormat="1" ht="15" x14ac:dyDescent="0.35">
      <c r="A261" s="172"/>
      <c r="B261" s="145"/>
      <c r="C261" s="74"/>
      <c r="D261" s="74"/>
      <c r="E261" s="107" t="s">
        <v>105</v>
      </c>
      <c r="F261" s="107"/>
      <c r="G261" s="146"/>
      <c r="H261" s="147"/>
      <c r="I261" s="177"/>
      <c r="J261" s="177"/>
      <c r="K261" s="149"/>
      <c r="L261" s="150"/>
      <c r="M261" s="151">
        <v>1</v>
      </c>
      <c r="N261" s="152"/>
      <c r="O261" s="152"/>
      <c r="P261" s="126">
        <f>SUM(P262:P289)</f>
        <v>0</v>
      </c>
    </row>
    <row r="262" spans="1:16" outlineLevel="1" x14ac:dyDescent="0.2">
      <c r="B262" s="120"/>
      <c r="C262" s="68"/>
      <c r="D262" s="68"/>
      <c r="E262" s="77" t="s">
        <v>282</v>
      </c>
      <c r="F262" s="68"/>
      <c r="G262" s="122"/>
      <c r="H262" s="123"/>
      <c r="I262" s="89"/>
      <c r="J262" s="89"/>
      <c r="K262" s="71"/>
      <c r="L262" s="127"/>
      <c r="M262" s="93"/>
      <c r="N262" s="121"/>
      <c r="O262" s="121"/>
      <c r="P262" s="124"/>
    </row>
    <row r="263" spans="1:16" outlineLevel="1" x14ac:dyDescent="0.2">
      <c r="B263" s="120"/>
      <c r="C263" s="68"/>
      <c r="D263" s="68"/>
      <c r="E263" s="77"/>
      <c r="F263" s="68" t="s">
        <v>283</v>
      </c>
      <c r="G263" s="131">
        <v>0</v>
      </c>
      <c r="H263" s="78" t="s">
        <v>1</v>
      </c>
      <c r="I263" s="121"/>
      <c r="J263" s="89"/>
      <c r="K263" s="71"/>
      <c r="L263" s="127">
        <v>200</v>
      </c>
      <c r="M263" s="93"/>
      <c r="N263" s="128">
        <f>L263*M$261</f>
        <v>200</v>
      </c>
      <c r="O263" s="128">
        <f t="shared" ref="O263:O278" si="49">N263</f>
        <v>200</v>
      </c>
      <c r="P263" s="129">
        <f t="shared" ref="P263:P278" si="50">G263*O263</f>
        <v>0</v>
      </c>
    </row>
    <row r="264" spans="1:16" outlineLevel="1" x14ac:dyDescent="0.2">
      <c r="B264" s="120"/>
      <c r="C264" s="68"/>
      <c r="D264" s="68"/>
      <c r="E264" s="77"/>
      <c r="F264" s="68" t="s">
        <v>284</v>
      </c>
      <c r="G264" s="131">
        <v>0</v>
      </c>
      <c r="H264" s="78" t="s">
        <v>1</v>
      </c>
      <c r="I264" s="121"/>
      <c r="J264" s="89"/>
      <c r="K264" s="71" t="s">
        <v>391</v>
      </c>
      <c r="L264" s="127">
        <v>2500</v>
      </c>
      <c r="M264" s="93"/>
      <c r="N264" s="128">
        <f t="shared" ref="N264:N289" si="51">L264*M$261</f>
        <v>2500</v>
      </c>
      <c r="O264" s="128">
        <f t="shared" si="49"/>
        <v>2500</v>
      </c>
      <c r="P264" s="129">
        <f t="shared" si="50"/>
        <v>0</v>
      </c>
    </row>
    <row r="265" spans="1:16" outlineLevel="1" x14ac:dyDescent="0.2">
      <c r="B265" s="120"/>
      <c r="C265" s="68"/>
      <c r="D265" s="68"/>
      <c r="E265" s="69"/>
      <c r="F265" s="68" t="s">
        <v>285</v>
      </c>
      <c r="G265" s="131">
        <v>0</v>
      </c>
      <c r="H265" s="78" t="s">
        <v>1</v>
      </c>
      <c r="I265" s="121"/>
      <c r="J265" s="89"/>
      <c r="K265" s="71"/>
      <c r="L265" s="127">
        <v>500</v>
      </c>
      <c r="M265" s="93"/>
      <c r="N265" s="128">
        <f t="shared" si="51"/>
        <v>500</v>
      </c>
      <c r="O265" s="128">
        <f t="shared" si="49"/>
        <v>500</v>
      </c>
      <c r="P265" s="129">
        <f t="shared" si="50"/>
        <v>0</v>
      </c>
    </row>
    <row r="266" spans="1:16" outlineLevel="1" x14ac:dyDescent="0.2">
      <c r="B266" s="120"/>
      <c r="C266" s="68"/>
      <c r="D266" s="68"/>
      <c r="E266" s="69"/>
      <c r="F266" s="68" t="s">
        <v>286</v>
      </c>
      <c r="G266" s="131">
        <v>0</v>
      </c>
      <c r="H266" s="78" t="s">
        <v>1</v>
      </c>
      <c r="I266" s="121"/>
      <c r="J266" s="89"/>
      <c r="K266" s="71" t="s">
        <v>392</v>
      </c>
      <c r="L266" s="127">
        <v>1000</v>
      </c>
      <c r="M266" s="93"/>
      <c r="N266" s="128">
        <f t="shared" si="51"/>
        <v>1000</v>
      </c>
      <c r="O266" s="128">
        <f t="shared" si="49"/>
        <v>1000</v>
      </c>
      <c r="P266" s="129">
        <f t="shared" si="50"/>
        <v>0</v>
      </c>
    </row>
    <row r="267" spans="1:16" outlineLevel="1" x14ac:dyDescent="0.2">
      <c r="B267" s="120"/>
      <c r="C267" s="68"/>
      <c r="D267" s="68"/>
      <c r="E267" s="69"/>
      <c r="F267" s="68" t="s">
        <v>393</v>
      </c>
      <c r="G267" s="131">
        <v>0</v>
      </c>
      <c r="H267" s="78" t="s">
        <v>1</v>
      </c>
      <c r="I267" s="121"/>
      <c r="J267" s="89"/>
      <c r="K267" s="71"/>
      <c r="L267" s="127">
        <v>200</v>
      </c>
      <c r="M267" s="93"/>
      <c r="N267" s="128">
        <f t="shared" si="51"/>
        <v>200</v>
      </c>
      <c r="O267" s="128">
        <f t="shared" si="49"/>
        <v>200</v>
      </c>
      <c r="P267" s="129">
        <f t="shared" si="50"/>
        <v>0</v>
      </c>
    </row>
    <row r="268" spans="1:16" outlineLevel="1" x14ac:dyDescent="0.2">
      <c r="B268" s="120"/>
      <c r="C268" s="68"/>
      <c r="D268" s="68"/>
      <c r="E268" s="69"/>
      <c r="F268" s="68" t="s">
        <v>287</v>
      </c>
      <c r="G268" s="131">
        <v>0</v>
      </c>
      <c r="H268" s="78" t="s">
        <v>1</v>
      </c>
      <c r="I268" s="121"/>
      <c r="J268" s="89"/>
      <c r="K268" s="71" t="s">
        <v>394</v>
      </c>
      <c r="L268" s="127">
        <v>5</v>
      </c>
      <c r="M268" s="93"/>
      <c r="N268" s="128">
        <f t="shared" si="51"/>
        <v>5</v>
      </c>
      <c r="O268" s="128">
        <f t="shared" si="49"/>
        <v>5</v>
      </c>
      <c r="P268" s="129">
        <f t="shared" si="50"/>
        <v>0</v>
      </c>
    </row>
    <row r="269" spans="1:16" outlineLevel="1" x14ac:dyDescent="0.2">
      <c r="B269" s="120"/>
      <c r="C269" s="68"/>
      <c r="D269" s="68"/>
      <c r="E269" s="69"/>
      <c r="F269" s="68" t="s">
        <v>288</v>
      </c>
      <c r="G269" s="131">
        <v>0</v>
      </c>
      <c r="H269" s="78" t="s">
        <v>1</v>
      </c>
      <c r="I269" s="121"/>
      <c r="J269" s="89"/>
      <c r="K269" s="71"/>
      <c r="L269" s="127">
        <v>10</v>
      </c>
      <c r="M269" s="93"/>
      <c r="N269" s="128">
        <f t="shared" si="51"/>
        <v>10</v>
      </c>
      <c r="O269" s="128">
        <f t="shared" si="49"/>
        <v>10</v>
      </c>
      <c r="P269" s="129">
        <f t="shared" si="50"/>
        <v>0</v>
      </c>
    </row>
    <row r="270" spans="1:16" outlineLevel="1" x14ac:dyDescent="0.2">
      <c r="B270" s="120"/>
      <c r="C270" s="68"/>
      <c r="D270" s="68"/>
      <c r="E270" s="69"/>
      <c r="F270" s="68" t="s">
        <v>289</v>
      </c>
      <c r="G270" s="131">
        <v>0</v>
      </c>
      <c r="H270" s="78" t="s">
        <v>1</v>
      </c>
      <c r="I270" s="121"/>
      <c r="J270" s="89"/>
      <c r="K270" s="71"/>
      <c r="L270" s="127">
        <v>10</v>
      </c>
      <c r="M270" s="93"/>
      <c r="N270" s="128">
        <f t="shared" si="51"/>
        <v>10</v>
      </c>
      <c r="O270" s="128">
        <f t="shared" si="49"/>
        <v>10</v>
      </c>
      <c r="P270" s="129">
        <f t="shared" si="50"/>
        <v>0</v>
      </c>
    </row>
    <row r="271" spans="1:16" outlineLevel="1" x14ac:dyDescent="0.2">
      <c r="B271" s="120"/>
      <c r="C271" s="68"/>
      <c r="D271" s="68"/>
      <c r="E271" s="69"/>
      <c r="F271" s="68" t="s">
        <v>290</v>
      </c>
      <c r="G271" s="131">
        <v>0</v>
      </c>
      <c r="H271" s="78" t="s">
        <v>1</v>
      </c>
      <c r="I271" s="121"/>
      <c r="J271" s="89"/>
      <c r="K271" s="71"/>
      <c r="L271" s="127">
        <v>10</v>
      </c>
      <c r="M271" s="93"/>
      <c r="N271" s="128">
        <f t="shared" si="51"/>
        <v>10</v>
      </c>
      <c r="O271" s="128">
        <f t="shared" si="49"/>
        <v>10</v>
      </c>
      <c r="P271" s="129">
        <f t="shared" si="50"/>
        <v>0</v>
      </c>
    </row>
    <row r="272" spans="1:16" outlineLevel="1" x14ac:dyDescent="0.2">
      <c r="B272" s="120"/>
      <c r="C272" s="68"/>
      <c r="D272" s="68"/>
      <c r="E272" s="69"/>
      <c r="F272" s="68" t="s">
        <v>291</v>
      </c>
      <c r="G272" s="131">
        <v>0</v>
      </c>
      <c r="H272" s="78" t="s">
        <v>75</v>
      </c>
      <c r="I272" s="121"/>
      <c r="J272" s="89"/>
      <c r="K272" s="71"/>
      <c r="L272" s="127">
        <f>0.8*1.25</f>
        <v>1</v>
      </c>
      <c r="M272" s="93"/>
      <c r="N272" s="128">
        <f t="shared" si="51"/>
        <v>1</v>
      </c>
      <c r="O272" s="128">
        <f t="shared" si="49"/>
        <v>1</v>
      </c>
      <c r="P272" s="129">
        <f t="shared" si="50"/>
        <v>0</v>
      </c>
    </row>
    <row r="273" spans="2:16" outlineLevel="1" x14ac:dyDescent="0.2">
      <c r="B273" s="120"/>
      <c r="C273" s="68"/>
      <c r="D273" s="68"/>
      <c r="E273" s="69"/>
      <c r="F273" s="68" t="s">
        <v>292</v>
      </c>
      <c r="G273" s="131">
        <v>0</v>
      </c>
      <c r="H273" s="78" t="s">
        <v>75</v>
      </c>
      <c r="I273" s="121"/>
      <c r="J273" s="89"/>
      <c r="K273" s="71"/>
      <c r="L273" s="127">
        <f>0.75*1.25</f>
        <v>0.9375</v>
      </c>
      <c r="M273" s="93"/>
      <c r="N273" s="128">
        <f t="shared" si="51"/>
        <v>0.9375</v>
      </c>
      <c r="O273" s="128">
        <f t="shared" si="49"/>
        <v>0.9375</v>
      </c>
      <c r="P273" s="129">
        <f t="shared" si="50"/>
        <v>0</v>
      </c>
    </row>
    <row r="274" spans="2:16" outlineLevel="1" x14ac:dyDescent="0.2">
      <c r="B274" s="120"/>
      <c r="C274" s="68"/>
      <c r="D274" s="68"/>
      <c r="E274" s="69"/>
      <c r="F274" s="68" t="s">
        <v>293</v>
      </c>
      <c r="G274" s="131">
        <v>0</v>
      </c>
      <c r="H274" s="78" t="s">
        <v>75</v>
      </c>
      <c r="I274" s="121"/>
      <c r="J274" s="89"/>
      <c r="K274" s="71"/>
      <c r="L274" s="127">
        <f>0.6*1.25</f>
        <v>0.75</v>
      </c>
      <c r="M274" s="93"/>
      <c r="N274" s="128">
        <f t="shared" si="51"/>
        <v>0.75</v>
      </c>
      <c r="O274" s="128">
        <f t="shared" si="49"/>
        <v>0.75</v>
      </c>
      <c r="P274" s="129">
        <f t="shared" si="50"/>
        <v>0</v>
      </c>
    </row>
    <row r="275" spans="2:16" outlineLevel="1" x14ac:dyDescent="0.2">
      <c r="B275" s="120"/>
      <c r="C275" s="68"/>
      <c r="D275" s="68"/>
      <c r="E275" s="69"/>
      <c r="F275" s="68" t="s">
        <v>294</v>
      </c>
      <c r="G275" s="131">
        <v>0</v>
      </c>
      <c r="H275" s="78" t="s">
        <v>75</v>
      </c>
      <c r="I275" s="121"/>
      <c r="J275" s="89"/>
      <c r="K275" s="71"/>
      <c r="L275" s="127">
        <f>2.5*1.2</f>
        <v>3</v>
      </c>
      <c r="M275" s="93"/>
      <c r="N275" s="128">
        <f t="shared" si="51"/>
        <v>3</v>
      </c>
      <c r="O275" s="128">
        <f t="shared" si="49"/>
        <v>3</v>
      </c>
      <c r="P275" s="129">
        <f t="shared" si="50"/>
        <v>0</v>
      </c>
    </row>
    <row r="276" spans="2:16" outlineLevel="1" x14ac:dyDescent="0.2">
      <c r="B276" s="120"/>
      <c r="C276" s="68"/>
      <c r="D276" s="68"/>
      <c r="E276" s="69"/>
      <c r="F276" s="68" t="s">
        <v>198</v>
      </c>
      <c r="G276" s="122">
        <f>G272+G273+G274</f>
        <v>0</v>
      </c>
      <c r="H276" s="78" t="s">
        <v>75</v>
      </c>
      <c r="I276" s="121"/>
      <c r="J276" s="89"/>
      <c r="K276" s="71" t="s">
        <v>199</v>
      </c>
      <c r="L276" s="80">
        <v>1.25</v>
      </c>
      <c r="M276" s="93"/>
      <c r="N276" s="128">
        <f t="shared" si="51"/>
        <v>1.25</v>
      </c>
      <c r="O276" s="128">
        <f t="shared" si="49"/>
        <v>1.25</v>
      </c>
      <c r="P276" s="129">
        <f t="shared" si="50"/>
        <v>0</v>
      </c>
    </row>
    <row r="277" spans="2:16" outlineLevel="1" x14ac:dyDescent="0.2">
      <c r="B277" s="120"/>
      <c r="C277" s="68"/>
      <c r="D277" s="68"/>
      <c r="E277" s="69"/>
      <c r="F277" s="68" t="s">
        <v>463</v>
      </c>
      <c r="G277" s="131">
        <v>0</v>
      </c>
      <c r="H277" s="78" t="s">
        <v>1</v>
      </c>
      <c r="I277" s="121"/>
      <c r="J277" s="89"/>
      <c r="K277" s="71"/>
      <c r="L277" s="127">
        <v>500</v>
      </c>
      <c r="M277" s="93"/>
      <c r="N277" s="128">
        <f t="shared" si="51"/>
        <v>500</v>
      </c>
      <c r="O277" s="128">
        <f t="shared" si="49"/>
        <v>500</v>
      </c>
      <c r="P277" s="129">
        <f t="shared" si="50"/>
        <v>0</v>
      </c>
    </row>
    <row r="278" spans="2:16" outlineLevel="1" x14ac:dyDescent="0.2">
      <c r="B278" s="120"/>
      <c r="C278" s="68"/>
      <c r="D278" s="68"/>
      <c r="E278" s="69"/>
      <c r="F278" s="68" t="s">
        <v>295</v>
      </c>
      <c r="G278" s="131">
        <v>0</v>
      </c>
      <c r="H278" s="78" t="s">
        <v>8</v>
      </c>
      <c r="I278" s="121"/>
      <c r="J278" s="89"/>
      <c r="K278" s="71"/>
      <c r="L278" s="127">
        <v>25</v>
      </c>
      <c r="M278" s="93"/>
      <c r="N278" s="128">
        <f t="shared" si="51"/>
        <v>25</v>
      </c>
      <c r="O278" s="128">
        <f t="shared" si="49"/>
        <v>25</v>
      </c>
      <c r="P278" s="129">
        <f t="shared" si="50"/>
        <v>0</v>
      </c>
    </row>
    <row r="279" spans="2:16" outlineLevel="1" x14ac:dyDescent="0.2">
      <c r="B279" s="120"/>
      <c r="C279" s="68"/>
      <c r="D279" s="68"/>
      <c r="E279" s="77" t="s">
        <v>296</v>
      </c>
      <c r="F279" s="70"/>
      <c r="G279" s="122"/>
      <c r="H279" s="78"/>
      <c r="I279" s="89"/>
      <c r="J279" s="89"/>
      <c r="K279" s="71"/>
      <c r="L279" s="127"/>
      <c r="M279" s="93"/>
      <c r="N279" s="128">
        <f t="shared" si="51"/>
        <v>0</v>
      </c>
      <c r="O279" s="121"/>
      <c r="P279" s="124"/>
    </row>
    <row r="280" spans="2:16" outlineLevel="1" x14ac:dyDescent="0.2">
      <c r="B280" s="120"/>
      <c r="C280" s="68"/>
      <c r="D280" s="68"/>
      <c r="E280" s="69"/>
      <c r="F280" s="68" t="s">
        <v>297</v>
      </c>
      <c r="G280" s="131">
        <v>0</v>
      </c>
      <c r="H280" s="78" t="s">
        <v>1</v>
      </c>
      <c r="I280" s="121"/>
      <c r="J280" s="89"/>
      <c r="K280" s="71"/>
      <c r="L280" s="127">
        <f>190*1.2</f>
        <v>228</v>
      </c>
      <c r="M280" s="93"/>
      <c r="N280" s="128">
        <f t="shared" si="51"/>
        <v>228</v>
      </c>
      <c r="O280" s="128">
        <f t="shared" ref="O280:O289" si="52">N280</f>
        <v>228</v>
      </c>
      <c r="P280" s="129">
        <f t="shared" ref="P280:P289" si="53">G280*O280</f>
        <v>0</v>
      </c>
    </row>
    <row r="281" spans="2:16" outlineLevel="1" x14ac:dyDescent="0.2">
      <c r="B281" s="120"/>
      <c r="C281" s="68"/>
      <c r="D281" s="68"/>
      <c r="E281" s="69"/>
      <c r="F281" s="68" t="s">
        <v>298</v>
      </c>
      <c r="G281" s="131">
        <v>0</v>
      </c>
      <c r="H281" s="78" t="s">
        <v>1</v>
      </c>
      <c r="I281" s="121"/>
      <c r="J281" s="89"/>
      <c r="K281" s="71"/>
      <c r="L281" s="127">
        <f>20.5*1.2</f>
        <v>24.599999999999998</v>
      </c>
      <c r="M281" s="93"/>
      <c r="N281" s="128">
        <f t="shared" si="51"/>
        <v>24.599999999999998</v>
      </c>
      <c r="O281" s="128">
        <f t="shared" si="52"/>
        <v>24.599999999999998</v>
      </c>
      <c r="P281" s="129">
        <f t="shared" si="53"/>
        <v>0</v>
      </c>
    </row>
    <row r="282" spans="2:16" outlineLevel="1" x14ac:dyDescent="0.2">
      <c r="B282" s="120"/>
      <c r="C282" s="68"/>
      <c r="D282" s="68"/>
      <c r="E282" s="69"/>
      <c r="F282" s="68" t="s">
        <v>299</v>
      </c>
      <c r="G282" s="131">
        <v>0</v>
      </c>
      <c r="H282" s="78" t="s">
        <v>1</v>
      </c>
      <c r="I282" s="121"/>
      <c r="J282" s="89"/>
      <c r="K282" s="71" t="s">
        <v>396</v>
      </c>
      <c r="L282" s="127">
        <f>150*1.2</f>
        <v>180</v>
      </c>
      <c r="M282" s="93"/>
      <c r="N282" s="128">
        <f t="shared" si="51"/>
        <v>180</v>
      </c>
      <c r="O282" s="128">
        <f t="shared" si="52"/>
        <v>180</v>
      </c>
      <c r="P282" s="129">
        <f t="shared" si="53"/>
        <v>0</v>
      </c>
    </row>
    <row r="283" spans="2:16" outlineLevel="1" x14ac:dyDescent="0.2">
      <c r="B283" s="120"/>
      <c r="C283" s="68"/>
      <c r="D283" s="68"/>
      <c r="E283" s="69"/>
      <c r="F283" s="68" t="s">
        <v>300</v>
      </c>
      <c r="G283" s="131">
        <v>0</v>
      </c>
      <c r="H283" s="78" t="s">
        <v>1</v>
      </c>
      <c r="I283" s="121"/>
      <c r="J283" s="89"/>
      <c r="K283" s="71" t="s">
        <v>395</v>
      </c>
      <c r="L283" s="127">
        <f>692/1.19*1.2</f>
        <v>697.81512605042019</v>
      </c>
      <c r="M283" s="93"/>
      <c r="N283" s="128">
        <f t="shared" si="51"/>
        <v>697.81512605042019</v>
      </c>
      <c r="O283" s="128">
        <f t="shared" si="52"/>
        <v>697.81512605042019</v>
      </c>
      <c r="P283" s="129">
        <f t="shared" si="53"/>
        <v>0</v>
      </c>
    </row>
    <row r="284" spans="2:16" outlineLevel="1" x14ac:dyDescent="0.2">
      <c r="B284" s="120"/>
      <c r="C284" s="68"/>
      <c r="D284" s="68"/>
      <c r="E284" s="69"/>
      <c r="F284" s="68" t="s">
        <v>301</v>
      </c>
      <c r="G284" s="131">
        <v>0</v>
      </c>
      <c r="H284" s="78" t="s">
        <v>1</v>
      </c>
      <c r="I284" s="121"/>
      <c r="J284" s="89"/>
      <c r="K284" s="71" t="s">
        <v>397</v>
      </c>
      <c r="L284" s="127">
        <f>180*1.2</f>
        <v>216</v>
      </c>
      <c r="M284" s="93"/>
      <c r="N284" s="128">
        <f t="shared" si="51"/>
        <v>216</v>
      </c>
      <c r="O284" s="128">
        <f t="shared" si="52"/>
        <v>216</v>
      </c>
      <c r="P284" s="129">
        <f t="shared" si="53"/>
        <v>0</v>
      </c>
    </row>
    <row r="285" spans="2:16" outlineLevel="1" x14ac:dyDescent="0.2">
      <c r="B285" s="120"/>
      <c r="C285" s="68"/>
      <c r="D285" s="68"/>
      <c r="E285" s="69"/>
      <c r="F285" s="68" t="s">
        <v>302</v>
      </c>
      <c r="G285" s="131">
        <v>0</v>
      </c>
      <c r="H285" s="78" t="s">
        <v>1</v>
      </c>
      <c r="I285" s="121"/>
      <c r="J285" s="89"/>
      <c r="K285" s="71"/>
      <c r="L285" s="127">
        <v>2500</v>
      </c>
      <c r="M285" s="93"/>
      <c r="N285" s="128">
        <f t="shared" si="51"/>
        <v>2500</v>
      </c>
      <c r="O285" s="128">
        <f t="shared" si="52"/>
        <v>2500</v>
      </c>
      <c r="P285" s="129">
        <f t="shared" si="53"/>
        <v>0</v>
      </c>
    </row>
    <row r="286" spans="2:16" outlineLevel="1" x14ac:dyDescent="0.2">
      <c r="B286" s="120"/>
      <c r="C286" s="68"/>
      <c r="D286" s="68"/>
      <c r="E286" s="69"/>
      <c r="F286" s="68" t="s">
        <v>303</v>
      </c>
      <c r="G286" s="131">
        <v>0</v>
      </c>
      <c r="H286" s="78" t="s">
        <v>75</v>
      </c>
      <c r="I286" s="121"/>
      <c r="J286" s="89"/>
      <c r="K286" s="71"/>
      <c r="L286" s="127">
        <f>2.11/1.19*1.2</f>
        <v>2.1277310924369748</v>
      </c>
      <c r="M286" s="93"/>
      <c r="N286" s="128">
        <f t="shared" si="51"/>
        <v>2.1277310924369748</v>
      </c>
      <c r="O286" s="128">
        <f t="shared" si="52"/>
        <v>2.1277310924369748</v>
      </c>
      <c r="P286" s="129">
        <f t="shared" si="53"/>
        <v>0</v>
      </c>
    </row>
    <row r="287" spans="2:16" outlineLevel="1" x14ac:dyDescent="0.2">
      <c r="B287" s="120"/>
      <c r="C287" s="68"/>
      <c r="D287" s="68"/>
      <c r="E287" s="69"/>
      <c r="F287" s="68" t="s">
        <v>198</v>
      </c>
      <c r="G287" s="209">
        <f>G286</f>
        <v>0</v>
      </c>
      <c r="H287" s="78" t="s">
        <v>75</v>
      </c>
      <c r="I287" s="121"/>
      <c r="J287" s="89"/>
      <c r="K287" s="71" t="s">
        <v>199</v>
      </c>
      <c r="L287" s="80">
        <v>1.25</v>
      </c>
      <c r="M287" s="93"/>
      <c r="N287" s="128">
        <f t="shared" si="51"/>
        <v>1.25</v>
      </c>
      <c r="O287" s="128">
        <f t="shared" si="52"/>
        <v>1.25</v>
      </c>
      <c r="P287" s="129">
        <f t="shared" si="53"/>
        <v>0</v>
      </c>
    </row>
    <row r="288" spans="2:16" outlineLevel="1" x14ac:dyDescent="0.2">
      <c r="B288" s="120"/>
      <c r="C288" s="68"/>
      <c r="D288" s="68"/>
      <c r="E288" s="69"/>
      <c r="F288" s="68" t="s">
        <v>304</v>
      </c>
      <c r="G288" s="131">
        <v>0</v>
      </c>
      <c r="H288" s="78" t="s">
        <v>1</v>
      </c>
      <c r="I288" s="121"/>
      <c r="J288" s="89"/>
      <c r="K288" s="71" t="s">
        <v>398</v>
      </c>
      <c r="L288" s="127">
        <f>638/1.19*1.05</f>
        <v>562.94117647058829</v>
      </c>
      <c r="M288" s="93"/>
      <c r="N288" s="128">
        <f t="shared" si="51"/>
        <v>562.94117647058829</v>
      </c>
      <c r="O288" s="128">
        <f t="shared" si="52"/>
        <v>562.94117647058829</v>
      </c>
      <c r="P288" s="129">
        <f t="shared" si="53"/>
        <v>0</v>
      </c>
    </row>
    <row r="289" spans="1:16" outlineLevel="1" x14ac:dyDescent="0.2">
      <c r="B289" s="120"/>
      <c r="C289" s="68"/>
      <c r="D289" s="68"/>
      <c r="E289" s="69"/>
      <c r="F289" s="68" t="s">
        <v>295</v>
      </c>
      <c r="G289" s="131">
        <v>0</v>
      </c>
      <c r="H289" s="78" t="s">
        <v>8</v>
      </c>
      <c r="I289" s="121"/>
      <c r="J289" s="89"/>
      <c r="K289" s="71"/>
      <c r="L289" s="127">
        <v>25</v>
      </c>
      <c r="M289" s="93"/>
      <c r="N289" s="128">
        <f t="shared" si="51"/>
        <v>25</v>
      </c>
      <c r="O289" s="128">
        <f t="shared" si="52"/>
        <v>25</v>
      </c>
      <c r="P289" s="129">
        <f t="shared" si="53"/>
        <v>0</v>
      </c>
    </row>
    <row r="290" spans="1:16" s="153" customFormat="1" ht="15" x14ac:dyDescent="0.35">
      <c r="A290" s="172"/>
      <c r="B290" s="145"/>
      <c r="C290" s="74"/>
      <c r="D290" s="154" t="s">
        <v>106</v>
      </c>
      <c r="E290" s="108"/>
      <c r="F290" s="155"/>
      <c r="G290" s="156"/>
      <c r="H290" s="157"/>
      <c r="I290" s="176"/>
      <c r="J290" s="176"/>
      <c r="K290" s="159"/>
      <c r="L290" s="171"/>
      <c r="M290" s="161">
        <v>1</v>
      </c>
      <c r="N290" s="158"/>
      <c r="O290" s="158"/>
      <c r="P290" s="125">
        <f>SUM(P291:P410)</f>
        <v>0</v>
      </c>
    </row>
    <row r="291" spans="1:16" outlineLevel="1" x14ac:dyDescent="0.2">
      <c r="B291" s="120"/>
      <c r="C291" s="68"/>
      <c r="D291" s="68"/>
      <c r="E291" s="77" t="s">
        <v>210</v>
      </c>
      <c r="F291" s="95"/>
      <c r="G291" s="122"/>
      <c r="H291" s="123"/>
      <c r="I291" s="89"/>
      <c r="J291" s="89"/>
      <c r="K291" s="71"/>
      <c r="L291" s="127"/>
      <c r="M291" s="93"/>
      <c r="N291" s="121"/>
      <c r="O291" s="121"/>
      <c r="P291" s="124"/>
    </row>
    <row r="292" spans="1:16" outlineLevel="1" x14ac:dyDescent="0.2">
      <c r="B292" s="120"/>
      <c r="C292" s="68"/>
      <c r="D292" s="68"/>
      <c r="E292" s="69"/>
      <c r="F292" s="68" t="s">
        <v>353</v>
      </c>
      <c r="G292" s="131">
        <v>0</v>
      </c>
      <c r="H292" s="78" t="s">
        <v>75</v>
      </c>
      <c r="I292" s="121"/>
      <c r="J292" s="89"/>
      <c r="K292" s="71"/>
      <c r="L292" s="127">
        <v>15</v>
      </c>
      <c r="M292" s="93"/>
      <c r="N292" s="128">
        <f>L292*M$290</f>
        <v>15</v>
      </c>
      <c r="O292" s="128">
        <f t="shared" ref="O292:O367" si="54">N292</f>
        <v>15</v>
      </c>
      <c r="P292" s="129">
        <f t="shared" ref="P292:P313" si="55">G292*O292</f>
        <v>0</v>
      </c>
    </row>
    <row r="293" spans="1:16" outlineLevel="1" x14ac:dyDescent="0.2">
      <c r="B293" s="120"/>
      <c r="C293" s="68"/>
      <c r="D293" s="68"/>
      <c r="E293" s="69"/>
      <c r="F293" s="68" t="s">
        <v>354</v>
      </c>
      <c r="G293" s="131">
        <v>0</v>
      </c>
      <c r="H293" s="78" t="s">
        <v>75</v>
      </c>
      <c r="I293" s="121"/>
      <c r="J293" s="89"/>
      <c r="K293" s="71"/>
      <c r="L293" s="127">
        <v>15.5</v>
      </c>
      <c r="M293" s="93"/>
      <c r="N293" s="128">
        <f t="shared" ref="N293:N356" si="56">L293*M$290</f>
        <v>15.5</v>
      </c>
      <c r="O293" s="128">
        <f t="shared" si="54"/>
        <v>15.5</v>
      </c>
      <c r="P293" s="129">
        <f t="shared" si="55"/>
        <v>0</v>
      </c>
    </row>
    <row r="294" spans="1:16" outlineLevel="1" x14ac:dyDescent="0.2">
      <c r="B294" s="120"/>
      <c r="C294" s="68"/>
      <c r="D294" s="68"/>
      <c r="E294" s="69"/>
      <c r="F294" s="68" t="s">
        <v>211</v>
      </c>
      <c r="G294" s="131">
        <v>0</v>
      </c>
      <c r="H294" s="78" t="s">
        <v>1</v>
      </c>
      <c r="I294" s="121"/>
      <c r="J294" s="89"/>
      <c r="K294" s="71"/>
      <c r="L294" s="127">
        <v>1.2</v>
      </c>
      <c r="M294" s="93"/>
      <c r="N294" s="128">
        <f t="shared" si="56"/>
        <v>1.2</v>
      </c>
      <c r="O294" s="128">
        <f t="shared" si="54"/>
        <v>1.2</v>
      </c>
      <c r="P294" s="129">
        <f t="shared" si="55"/>
        <v>0</v>
      </c>
    </row>
    <row r="295" spans="1:16" outlineLevel="1" x14ac:dyDescent="0.2">
      <c r="B295" s="120"/>
      <c r="C295" s="68"/>
      <c r="D295" s="68"/>
      <c r="E295" s="69"/>
      <c r="F295" s="68" t="s">
        <v>212</v>
      </c>
      <c r="G295" s="131">
        <v>0</v>
      </c>
      <c r="H295" s="78" t="s">
        <v>1</v>
      </c>
      <c r="I295" s="121"/>
      <c r="J295" s="89"/>
      <c r="K295" s="71"/>
      <c r="L295" s="127">
        <v>1</v>
      </c>
      <c r="M295" s="93"/>
      <c r="N295" s="128">
        <f t="shared" si="56"/>
        <v>1</v>
      </c>
      <c r="O295" s="128">
        <f t="shared" si="54"/>
        <v>1</v>
      </c>
      <c r="P295" s="129">
        <f t="shared" si="55"/>
        <v>0</v>
      </c>
    </row>
    <row r="296" spans="1:16" outlineLevel="1" x14ac:dyDescent="0.2">
      <c r="B296" s="120"/>
      <c r="C296" s="68"/>
      <c r="D296" s="68"/>
      <c r="E296" s="69"/>
      <c r="F296" s="68" t="s">
        <v>213</v>
      </c>
      <c r="G296" s="131">
        <v>0</v>
      </c>
      <c r="H296" s="78" t="s">
        <v>1</v>
      </c>
      <c r="I296" s="121"/>
      <c r="J296" s="89"/>
      <c r="K296" s="71"/>
      <c r="L296" s="127">
        <v>1.5</v>
      </c>
      <c r="M296" s="93"/>
      <c r="N296" s="128">
        <f t="shared" si="56"/>
        <v>1.5</v>
      </c>
      <c r="O296" s="128">
        <f t="shared" si="54"/>
        <v>1.5</v>
      </c>
      <c r="P296" s="129">
        <f t="shared" si="55"/>
        <v>0</v>
      </c>
    </row>
    <row r="297" spans="1:16" outlineLevel="1" x14ac:dyDescent="0.2">
      <c r="B297" s="120"/>
      <c r="C297" s="68"/>
      <c r="D297" s="68"/>
      <c r="E297" s="69"/>
      <c r="F297" s="68" t="s">
        <v>355</v>
      </c>
      <c r="G297" s="122">
        <f>G293/0.75</f>
        <v>0</v>
      </c>
      <c r="H297" s="78" t="s">
        <v>1</v>
      </c>
      <c r="I297" s="121"/>
      <c r="J297" s="89"/>
      <c r="K297" s="71"/>
      <c r="L297" s="127">
        <f>8.5*1.1</f>
        <v>9.3500000000000014</v>
      </c>
      <c r="M297" s="93"/>
      <c r="N297" s="128">
        <f t="shared" si="56"/>
        <v>9.3500000000000014</v>
      </c>
      <c r="O297" s="128">
        <f t="shared" si="54"/>
        <v>9.3500000000000014</v>
      </c>
      <c r="P297" s="129">
        <f t="shared" si="55"/>
        <v>0</v>
      </c>
    </row>
    <row r="298" spans="1:16" outlineLevel="1" x14ac:dyDescent="0.2">
      <c r="B298" s="120"/>
      <c r="C298" s="68"/>
      <c r="D298" s="68"/>
      <c r="E298" s="69"/>
      <c r="F298" s="68" t="s">
        <v>356</v>
      </c>
      <c r="G298" s="122">
        <f>G293</f>
        <v>0</v>
      </c>
      <c r="H298" s="78" t="s">
        <v>75</v>
      </c>
      <c r="I298" s="121"/>
      <c r="J298" s="89"/>
      <c r="K298" s="71"/>
      <c r="L298" s="127">
        <f>4.5*1.1</f>
        <v>4.95</v>
      </c>
      <c r="M298" s="93"/>
      <c r="N298" s="128">
        <f t="shared" si="56"/>
        <v>4.95</v>
      </c>
      <c r="O298" s="128">
        <f t="shared" si="54"/>
        <v>4.95</v>
      </c>
      <c r="P298" s="129">
        <f t="shared" si="55"/>
        <v>0</v>
      </c>
    </row>
    <row r="299" spans="1:16" outlineLevel="1" x14ac:dyDescent="0.2">
      <c r="B299" s="120"/>
      <c r="C299" s="68"/>
      <c r="D299" s="68"/>
      <c r="E299" s="69"/>
      <c r="F299" s="68" t="s">
        <v>357</v>
      </c>
      <c r="G299" s="131">
        <v>0</v>
      </c>
      <c r="H299" s="78" t="s">
        <v>75</v>
      </c>
      <c r="I299" s="121"/>
      <c r="J299" s="89"/>
      <c r="K299" s="71"/>
      <c r="L299" s="127">
        <v>15</v>
      </c>
      <c r="M299" s="93"/>
      <c r="N299" s="128">
        <f t="shared" si="56"/>
        <v>15</v>
      </c>
      <c r="O299" s="128">
        <f t="shared" si="54"/>
        <v>15</v>
      </c>
      <c r="P299" s="129">
        <f t="shared" si="55"/>
        <v>0</v>
      </c>
    </row>
    <row r="300" spans="1:16" outlineLevel="1" x14ac:dyDescent="0.2">
      <c r="B300" s="120"/>
      <c r="C300" s="68"/>
      <c r="D300" s="68"/>
      <c r="E300" s="69"/>
      <c r="F300" s="68" t="s">
        <v>214</v>
      </c>
      <c r="G300" s="131">
        <v>0</v>
      </c>
      <c r="H300" s="78" t="s">
        <v>1</v>
      </c>
      <c r="I300" s="121"/>
      <c r="J300" s="89"/>
      <c r="K300" s="71"/>
      <c r="L300" s="127">
        <v>1.4</v>
      </c>
      <c r="M300" s="93"/>
      <c r="N300" s="128">
        <f t="shared" si="56"/>
        <v>1.4</v>
      </c>
      <c r="O300" s="128">
        <f t="shared" si="54"/>
        <v>1.4</v>
      </c>
      <c r="P300" s="129">
        <f t="shared" si="55"/>
        <v>0</v>
      </c>
    </row>
    <row r="301" spans="1:16" outlineLevel="1" x14ac:dyDescent="0.2">
      <c r="B301" s="120"/>
      <c r="C301" s="68"/>
      <c r="D301" s="68"/>
      <c r="E301" s="69"/>
      <c r="F301" s="68" t="s">
        <v>215</v>
      </c>
      <c r="G301" s="131">
        <v>0</v>
      </c>
      <c r="H301" s="78" t="s">
        <v>1</v>
      </c>
      <c r="I301" s="121"/>
      <c r="J301" s="89"/>
      <c r="K301" s="71"/>
      <c r="L301" s="127">
        <v>0.5</v>
      </c>
      <c r="M301" s="93"/>
      <c r="N301" s="128">
        <f t="shared" si="56"/>
        <v>0.5</v>
      </c>
      <c r="O301" s="128">
        <f t="shared" si="54"/>
        <v>0.5</v>
      </c>
      <c r="P301" s="129">
        <f t="shared" si="55"/>
        <v>0</v>
      </c>
    </row>
    <row r="302" spans="1:16" outlineLevel="1" x14ac:dyDescent="0.2">
      <c r="B302" s="120"/>
      <c r="C302" s="68"/>
      <c r="D302" s="68"/>
      <c r="E302" s="69"/>
      <c r="F302" s="68" t="s">
        <v>358</v>
      </c>
      <c r="G302" s="122">
        <f>G299/1</f>
        <v>0</v>
      </c>
      <c r="H302" s="78" t="s">
        <v>1</v>
      </c>
      <c r="I302" s="121"/>
      <c r="J302" s="89"/>
      <c r="K302" s="71"/>
      <c r="L302" s="127">
        <f>7.5*1.1</f>
        <v>8.25</v>
      </c>
      <c r="M302" s="93"/>
      <c r="N302" s="128">
        <f t="shared" si="56"/>
        <v>8.25</v>
      </c>
      <c r="O302" s="128">
        <f t="shared" si="54"/>
        <v>8.25</v>
      </c>
      <c r="P302" s="129">
        <f t="shared" si="55"/>
        <v>0</v>
      </c>
    </row>
    <row r="303" spans="1:16" outlineLevel="1" x14ac:dyDescent="0.2">
      <c r="B303" s="120"/>
      <c r="C303" s="68"/>
      <c r="D303" s="68"/>
      <c r="E303" s="69"/>
      <c r="F303" s="68" t="s">
        <v>359</v>
      </c>
      <c r="G303" s="122">
        <f>G299</f>
        <v>0</v>
      </c>
      <c r="H303" s="78" t="s">
        <v>75</v>
      </c>
      <c r="I303" s="121"/>
      <c r="J303" s="89"/>
      <c r="K303" s="71"/>
      <c r="L303" s="127">
        <f>3.7*1.1</f>
        <v>4.07</v>
      </c>
      <c r="M303" s="93"/>
      <c r="N303" s="128">
        <f t="shared" si="56"/>
        <v>4.07</v>
      </c>
      <c r="O303" s="128">
        <f t="shared" si="54"/>
        <v>4.07</v>
      </c>
      <c r="P303" s="129">
        <f t="shared" si="55"/>
        <v>0</v>
      </c>
    </row>
    <row r="304" spans="1:16" outlineLevel="1" x14ac:dyDescent="0.2">
      <c r="B304" s="120"/>
      <c r="C304" s="68"/>
      <c r="D304" s="68"/>
      <c r="E304" s="69"/>
      <c r="F304" s="68" t="s">
        <v>216</v>
      </c>
      <c r="G304" s="131">
        <v>0</v>
      </c>
      <c r="H304" s="78" t="s">
        <v>1</v>
      </c>
      <c r="I304" s="121"/>
      <c r="J304" s="89"/>
      <c r="K304" s="71"/>
      <c r="L304" s="127">
        <v>0.5</v>
      </c>
      <c r="M304" s="93"/>
      <c r="N304" s="128">
        <f t="shared" si="56"/>
        <v>0.5</v>
      </c>
      <c r="O304" s="128">
        <f t="shared" si="54"/>
        <v>0.5</v>
      </c>
      <c r="P304" s="129">
        <f t="shared" si="55"/>
        <v>0</v>
      </c>
    </row>
    <row r="305" spans="2:16" outlineLevel="1" x14ac:dyDescent="0.2">
      <c r="B305" s="120"/>
      <c r="C305" s="68"/>
      <c r="D305" s="68"/>
      <c r="E305" s="69"/>
      <c r="F305" s="68" t="s">
        <v>360</v>
      </c>
      <c r="G305" s="131">
        <v>0</v>
      </c>
      <c r="H305" s="78" t="s">
        <v>1</v>
      </c>
      <c r="I305" s="121"/>
      <c r="J305" s="89"/>
      <c r="K305" s="71"/>
      <c r="L305" s="127">
        <f>20*1.1</f>
        <v>22</v>
      </c>
      <c r="M305" s="93"/>
      <c r="N305" s="128">
        <f t="shared" si="56"/>
        <v>22</v>
      </c>
      <c r="O305" s="128">
        <f t="shared" si="54"/>
        <v>22</v>
      </c>
      <c r="P305" s="129">
        <f t="shared" si="55"/>
        <v>0</v>
      </c>
    </row>
    <row r="306" spans="2:16" outlineLevel="1" x14ac:dyDescent="0.2">
      <c r="B306" s="120"/>
      <c r="C306" s="68"/>
      <c r="D306" s="68"/>
      <c r="E306" s="69"/>
      <c r="F306" s="68" t="s">
        <v>217</v>
      </c>
      <c r="G306" s="131">
        <v>0</v>
      </c>
      <c r="H306" s="78" t="s">
        <v>1</v>
      </c>
      <c r="I306" s="121"/>
      <c r="J306" s="89"/>
      <c r="K306" s="71"/>
      <c r="L306" s="127">
        <f>8.4*1.1</f>
        <v>9.240000000000002</v>
      </c>
      <c r="M306" s="93"/>
      <c r="N306" s="128">
        <f t="shared" si="56"/>
        <v>9.240000000000002</v>
      </c>
      <c r="O306" s="128">
        <f t="shared" si="54"/>
        <v>9.240000000000002</v>
      </c>
      <c r="P306" s="129">
        <f t="shared" si="55"/>
        <v>0</v>
      </c>
    </row>
    <row r="307" spans="2:16" outlineLevel="1" x14ac:dyDescent="0.2">
      <c r="B307" s="120"/>
      <c r="C307" s="68"/>
      <c r="D307" s="68"/>
      <c r="E307" s="69"/>
      <c r="F307" s="68" t="s">
        <v>361</v>
      </c>
      <c r="G307" s="131">
        <v>0</v>
      </c>
      <c r="H307" s="78" t="s">
        <v>75</v>
      </c>
      <c r="I307" s="121"/>
      <c r="J307" s="89"/>
      <c r="K307" s="71"/>
      <c r="L307" s="127">
        <v>12.5</v>
      </c>
      <c r="M307" s="93"/>
      <c r="N307" s="128">
        <f t="shared" si="56"/>
        <v>12.5</v>
      </c>
      <c r="O307" s="128">
        <f t="shared" si="54"/>
        <v>12.5</v>
      </c>
      <c r="P307" s="129">
        <f t="shared" si="55"/>
        <v>0</v>
      </c>
    </row>
    <row r="308" spans="2:16" outlineLevel="1" x14ac:dyDescent="0.2">
      <c r="B308" s="120"/>
      <c r="C308" s="68"/>
      <c r="D308" s="68"/>
      <c r="E308" s="69"/>
      <c r="F308" s="68" t="s">
        <v>218</v>
      </c>
      <c r="G308" s="131">
        <v>0</v>
      </c>
      <c r="H308" s="78" t="s">
        <v>1</v>
      </c>
      <c r="I308" s="121"/>
      <c r="J308" s="89"/>
      <c r="K308" s="71"/>
      <c r="L308" s="127">
        <f>0.55</f>
        <v>0.55000000000000004</v>
      </c>
      <c r="M308" s="93"/>
      <c r="N308" s="128">
        <f t="shared" si="56"/>
        <v>0.55000000000000004</v>
      </c>
      <c r="O308" s="128">
        <f t="shared" si="54"/>
        <v>0.55000000000000004</v>
      </c>
      <c r="P308" s="129">
        <f t="shared" si="55"/>
        <v>0</v>
      </c>
    </row>
    <row r="309" spans="2:16" outlineLevel="1" x14ac:dyDescent="0.2">
      <c r="B309" s="120"/>
      <c r="C309" s="68"/>
      <c r="D309" s="68"/>
      <c r="E309" s="69"/>
      <c r="F309" s="68" t="s">
        <v>219</v>
      </c>
      <c r="G309" s="131">
        <v>0</v>
      </c>
      <c r="H309" s="78" t="s">
        <v>1</v>
      </c>
      <c r="I309" s="121"/>
      <c r="J309" s="89"/>
      <c r="K309" s="71"/>
      <c r="L309" s="127">
        <v>0.5</v>
      </c>
      <c r="M309" s="93"/>
      <c r="N309" s="128">
        <f t="shared" si="56"/>
        <v>0.5</v>
      </c>
      <c r="O309" s="128">
        <f t="shared" si="54"/>
        <v>0.5</v>
      </c>
      <c r="P309" s="129">
        <f t="shared" si="55"/>
        <v>0</v>
      </c>
    </row>
    <row r="310" spans="2:16" outlineLevel="1" x14ac:dyDescent="0.2">
      <c r="B310" s="120"/>
      <c r="C310" s="68"/>
      <c r="D310" s="68"/>
      <c r="E310" s="69"/>
      <c r="F310" s="68" t="s">
        <v>220</v>
      </c>
      <c r="G310" s="131">
        <v>0</v>
      </c>
      <c r="H310" s="78" t="s">
        <v>1</v>
      </c>
      <c r="I310" s="121"/>
      <c r="J310" s="89"/>
      <c r="K310" s="71"/>
      <c r="L310" s="127">
        <v>35</v>
      </c>
      <c r="M310" s="93"/>
      <c r="N310" s="128">
        <f t="shared" si="56"/>
        <v>35</v>
      </c>
      <c r="O310" s="128">
        <f t="shared" si="54"/>
        <v>35</v>
      </c>
      <c r="P310" s="129">
        <f t="shared" si="55"/>
        <v>0</v>
      </c>
    </row>
    <row r="311" spans="2:16" outlineLevel="1" x14ac:dyDescent="0.2">
      <c r="B311" s="120"/>
      <c r="C311" s="68"/>
      <c r="D311" s="68"/>
      <c r="E311" s="69"/>
      <c r="F311" s="68" t="s">
        <v>223</v>
      </c>
      <c r="G311" s="122">
        <f>G293+G299+G307</f>
        <v>0</v>
      </c>
      <c r="H311" s="78" t="s">
        <v>75</v>
      </c>
      <c r="I311" s="121"/>
      <c r="J311" s="89"/>
      <c r="K311" s="71"/>
      <c r="L311" s="127">
        <v>2.5</v>
      </c>
      <c r="M311" s="93"/>
      <c r="N311" s="128">
        <f t="shared" si="56"/>
        <v>2.5</v>
      </c>
      <c r="O311" s="128">
        <f t="shared" si="54"/>
        <v>2.5</v>
      </c>
      <c r="P311" s="129">
        <f t="shared" si="55"/>
        <v>0</v>
      </c>
    </row>
    <row r="312" spans="2:16" outlineLevel="1" x14ac:dyDescent="0.2">
      <c r="B312" s="120"/>
      <c r="C312" s="68"/>
      <c r="D312" s="68"/>
      <c r="E312" s="69"/>
      <c r="F312" s="68" t="s">
        <v>224</v>
      </c>
      <c r="G312" s="122">
        <f>G311</f>
        <v>0</v>
      </c>
      <c r="H312" s="78" t="s">
        <v>75</v>
      </c>
      <c r="I312" s="121"/>
      <c r="J312" s="89"/>
      <c r="K312" s="71"/>
      <c r="L312" s="127">
        <v>2.5</v>
      </c>
      <c r="M312" s="93"/>
      <c r="N312" s="128">
        <f t="shared" si="56"/>
        <v>2.5</v>
      </c>
      <c r="O312" s="128">
        <f t="shared" si="54"/>
        <v>2.5</v>
      </c>
      <c r="P312" s="129">
        <f t="shared" si="55"/>
        <v>0</v>
      </c>
    </row>
    <row r="313" spans="2:16" outlineLevel="1" x14ac:dyDescent="0.2">
      <c r="B313" s="120"/>
      <c r="C313" s="68"/>
      <c r="D313" s="68"/>
      <c r="E313" s="69"/>
      <c r="F313" s="68" t="s">
        <v>295</v>
      </c>
      <c r="G313" s="131">
        <v>0</v>
      </c>
      <c r="H313" s="78" t="s">
        <v>8</v>
      </c>
      <c r="I313" s="121"/>
      <c r="J313" s="89"/>
      <c r="K313" s="71"/>
      <c r="L313" s="127">
        <v>25</v>
      </c>
      <c r="M313" s="93"/>
      <c r="N313" s="128">
        <f t="shared" si="56"/>
        <v>25</v>
      </c>
      <c r="O313" s="128">
        <f t="shared" si="54"/>
        <v>25</v>
      </c>
      <c r="P313" s="129">
        <f t="shared" si="55"/>
        <v>0</v>
      </c>
    </row>
    <row r="314" spans="2:16" outlineLevel="1" x14ac:dyDescent="0.2">
      <c r="B314" s="133"/>
      <c r="C314" s="95"/>
      <c r="D314" s="95"/>
      <c r="E314" s="77" t="s">
        <v>438</v>
      </c>
      <c r="F314" s="68"/>
      <c r="G314" s="92"/>
      <c r="H314" s="78"/>
      <c r="I314" s="89"/>
      <c r="J314" s="89"/>
      <c r="K314" s="71"/>
      <c r="L314" s="80"/>
      <c r="M314" s="93"/>
      <c r="N314" s="128">
        <f t="shared" si="56"/>
        <v>0</v>
      </c>
      <c r="O314" s="71"/>
      <c r="P314" s="134"/>
    </row>
    <row r="315" spans="2:16" outlineLevel="1" x14ac:dyDescent="0.2">
      <c r="B315" s="133"/>
      <c r="C315" s="95"/>
      <c r="D315" s="95"/>
      <c r="E315" s="77"/>
      <c r="F315" s="68" t="s">
        <v>354</v>
      </c>
      <c r="G315" s="212">
        <v>0</v>
      </c>
      <c r="H315" s="78" t="s">
        <v>75</v>
      </c>
      <c r="I315" s="71"/>
      <c r="J315" s="89"/>
      <c r="K315" s="71"/>
      <c r="L315" s="80">
        <v>15.5</v>
      </c>
      <c r="M315" s="94"/>
      <c r="N315" s="128">
        <f t="shared" si="56"/>
        <v>15.5</v>
      </c>
      <c r="O315" s="91">
        <f t="shared" ref="O315:O325" si="57">N315</f>
        <v>15.5</v>
      </c>
      <c r="P315" s="135">
        <f t="shared" ref="P315:P325" si="58">G315*O315</f>
        <v>0</v>
      </c>
    </row>
    <row r="316" spans="2:16" outlineLevel="1" x14ac:dyDescent="0.2">
      <c r="B316" s="133"/>
      <c r="C316" s="95"/>
      <c r="D316" s="95"/>
      <c r="E316" s="77"/>
      <c r="F316" s="68" t="s">
        <v>222</v>
      </c>
      <c r="G316" s="212">
        <v>0</v>
      </c>
      <c r="H316" s="78" t="s">
        <v>1</v>
      </c>
      <c r="I316" s="71"/>
      <c r="J316" s="89"/>
      <c r="K316" s="71"/>
      <c r="L316" s="80">
        <v>19.5</v>
      </c>
      <c r="M316" s="94"/>
      <c r="N316" s="128">
        <f t="shared" si="56"/>
        <v>19.5</v>
      </c>
      <c r="O316" s="91">
        <f t="shared" si="57"/>
        <v>19.5</v>
      </c>
      <c r="P316" s="135">
        <f t="shared" si="58"/>
        <v>0</v>
      </c>
    </row>
    <row r="317" spans="2:16" outlineLevel="1" x14ac:dyDescent="0.2">
      <c r="B317" s="133"/>
      <c r="C317" s="95"/>
      <c r="D317" s="95"/>
      <c r="E317" s="77"/>
      <c r="F317" s="68" t="s">
        <v>213</v>
      </c>
      <c r="G317" s="212">
        <v>0</v>
      </c>
      <c r="H317" s="78" t="s">
        <v>1</v>
      </c>
      <c r="I317" s="71"/>
      <c r="J317" s="89"/>
      <c r="K317" s="71"/>
      <c r="L317" s="80">
        <v>1.5</v>
      </c>
      <c r="M317" s="94"/>
      <c r="N317" s="128">
        <f t="shared" si="56"/>
        <v>1.5</v>
      </c>
      <c r="O317" s="91">
        <f t="shared" si="57"/>
        <v>1.5</v>
      </c>
      <c r="P317" s="135">
        <f t="shared" si="58"/>
        <v>0</v>
      </c>
    </row>
    <row r="318" spans="2:16" outlineLevel="1" x14ac:dyDescent="0.2">
      <c r="B318" s="133"/>
      <c r="C318" s="95"/>
      <c r="D318" s="95"/>
      <c r="E318" s="77"/>
      <c r="F318" s="68" t="s">
        <v>211</v>
      </c>
      <c r="G318" s="212">
        <v>0</v>
      </c>
      <c r="H318" s="78" t="s">
        <v>1</v>
      </c>
      <c r="I318" s="71"/>
      <c r="J318" s="89"/>
      <c r="K318" s="71"/>
      <c r="L318" s="80">
        <v>1.2</v>
      </c>
      <c r="M318" s="94"/>
      <c r="N318" s="128">
        <f t="shared" si="56"/>
        <v>1.2</v>
      </c>
      <c r="O318" s="91">
        <f t="shared" si="57"/>
        <v>1.2</v>
      </c>
      <c r="P318" s="135">
        <f t="shared" si="58"/>
        <v>0</v>
      </c>
    </row>
    <row r="319" spans="2:16" outlineLevel="1" x14ac:dyDescent="0.2">
      <c r="B319" s="133"/>
      <c r="C319" s="95"/>
      <c r="D319" s="95"/>
      <c r="E319" s="77"/>
      <c r="F319" s="68" t="s">
        <v>364</v>
      </c>
      <c r="G319" s="212">
        <v>0</v>
      </c>
      <c r="H319" s="78" t="s">
        <v>1</v>
      </c>
      <c r="I319" s="71"/>
      <c r="J319" s="89"/>
      <c r="K319" s="71"/>
      <c r="L319" s="80">
        <v>60</v>
      </c>
      <c r="M319" s="94"/>
      <c r="N319" s="128">
        <f t="shared" si="56"/>
        <v>60</v>
      </c>
      <c r="O319" s="91">
        <f t="shared" si="57"/>
        <v>60</v>
      </c>
      <c r="P319" s="135">
        <f t="shared" si="58"/>
        <v>0</v>
      </c>
    </row>
    <row r="320" spans="2:16" outlineLevel="1" x14ac:dyDescent="0.2">
      <c r="B320" s="133"/>
      <c r="C320" s="95"/>
      <c r="D320" s="95"/>
      <c r="E320" s="77"/>
      <c r="F320" s="68" t="s">
        <v>354</v>
      </c>
      <c r="G320" s="212">
        <v>0</v>
      </c>
      <c r="H320" s="78" t="s">
        <v>75</v>
      </c>
      <c r="I320" s="71"/>
      <c r="J320" s="89"/>
      <c r="K320" s="71"/>
      <c r="L320" s="80">
        <v>15.5</v>
      </c>
      <c r="M320" s="94"/>
      <c r="N320" s="128">
        <f t="shared" si="56"/>
        <v>15.5</v>
      </c>
      <c r="O320" s="91">
        <f t="shared" si="57"/>
        <v>15.5</v>
      </c>
      <c r="P320" s="135">
        <f t="shared" si="58"/>
        <v>0</v>
      </c>
    </row>
    <row r="321" spans="2:16" outlineLevel="1" x14ac:dyDescent="0.2">
      <c r="B321" s="133"/>
      <c r="C321" s="95"/>
      <c r="D321" s="95"/>
      <c r="E321" s="77"/>
      <c r="F321" s="68" t="s">
        <v>356</v>
      </c>
      <c r="G321" s="214">
        <f>G320</f>
        <v>0</v>
      </c>
      <c r="H321" s="78" t="s">
        <v>75</v>
      </c>
      <c r="I321" s="71"/>
      <c r="J321" s="89"/>
      <c r="K321" s="71"/>
      <c r="L321" s="80">
        <v>4.95</v>
      </c>
      <c r="M321" s="94"/>
      <c r="N321" s="128">
        <f t="shared" si="56"/>
        <v>4.95</v>
      </c>
      <c r="O321" s="91">
        <f t="shared" si="57"/>
        <v>4.95</v>
      </c>
      <c r="P321" s="135">
        <f t="shared" si="58"/>
        <v>0</v>
      </c>
    </row>
    <row r="322" spans="2:16" outlineLevel="1" x14ac:dyDescent="0.2">
      <c r="B322" s="133"/>
      <c r="C322" s="95"/>
      <c r="D322" s="95"/>
      <c r="E322" s="77"/>
      <c r="F322" s="68" t="s">
        <v>364</v>
      </c>
      <c r="G322" s="212">
        <v>0</v>
      </c>
      <c r="H322" s="78" t="s">
        <v>1</v>
      </c>
      <c r="I322" s="71"/>
      <c r="J322" s="89"/>
      <c r="K322" s="71"/>
      <c r="L322" s="80">
        <v>60</v>
      </c>
      <c r="M322" s="94"/>
      <c r="N322" s="128">
        <f t="shared" si="56"/>
        <v>60</v>
      </c>
      <c r="O322" s="91">
        <f t="shared" si="57"/>
        <v>60</v>
      </c>
      <c r="P322" s="135">
        <f t="shared" si="58"/>
        <v>0</v>
      </c>
    </row>
    <row r="323" spans="2:16" outlineLevel="1" x14ac:dyDescent="0.2">
      <c r="B323" s="133"/>
      <c r="C323" s="95"/>
      <c r="D323" s="95"/>
      <c r="E323" s="77"/>
      <c r="F323" s="68" t="s">
        <v>222</v>
      </c>
      <c r="G323" s="212">
        <v>0</v>
      </c>
      <c r="H323" s="78" t="s">
        <v>1</v>
      </c>
      <c r="I323" s="71"/>
      <c r="J323" s="89"/>
      <c r="K323" s="71"/>
      <c r="L323" s="80">
        <v>19.5</v>
      </c>
      <c r="M323" s="94"/>
      <c r="N323" s="128">
        <f t="shared" si="56"/>
        <v>19.5</v>
      </c>
      <c r="O323" s="91">
        <f t="shared" si="57"/>
        <v>19.5</v>
      </c>
      <c r="P323" s="135">
        <f t="shared" si="58"/>
        <v>0</v>
      </c>
    </row>
    <row r="324" spans="2:16" outlineLevel="1" x14ac:dyDescent="0.2">
      <c r="B324" s="133"/>
      <c r="C324" s="95"/>
      <c r="D324" s="95"/>
      <c r="E324" s="77"/>
      <c r="F324" s="68" t="s">
        <v>211</v>
      </c>
      <c r="G324" s="212">
        <v>0</v>
      </c>
      <c r="H324" s="78" t="s">
        <v>1</v>
      </c>
      <c r="I324" s="71"/>
      <c r="J324" s="89"/>
      <c r="K324" s="71"/>
      <c r="L324" s="80">
        <v>1.2</v>
      </c>
      <c r="M324" s="94"/>
      <c r="N324" s="128">
        <f t="shared" si="56"/>
        <v>1.2</v>
      </c>
      <c r="O324" s="91">
        <f t="shared" si="57"/>
        <v>1.2</v>
      </c>
      <c r="P324" s="135">
        <f t="shared" si="58"/>
        <v>0</v>
      </c>
    </row>
    <row r="325" spans="2:16" outlineLevel="1" x14ac:dyDescent="0.2">
      <c r="B325" s="133"/>
      <c r="C325" s="95"/>
      <c r="D325" s="95"/>
      <c r="E325" s="77"/>
      <c r="F325" s="68" t="s">
        <v>213</v>
      </c>
      <c r="G325" s="212">
        <v>0</v>
      </c>
      <c r="H325" s="78" t="s">
        <v>1</v>
      </c>
      <c r="I325" s="71"/>
      <c r="J325" s="89"/>
      <c r="K325" s="71"/>
      <c r="L325" s="80">
        <v>1.5</v>
      </c>
      <c r="M325" s="94"/>
      <c r="N325" s="128">
        <f t="shared" si="56"/>
        <v>1.5</v>
      </c>
      <c r="O325" s="91">
        <f t="shared" si="57"/>
        <v>1.5</v>
      </c>
      <c r="P325" s="135">
        <f t="shared" si="58"/>
        <v>0</v>
      </c>
    </row>
    <row r="326" spans="2:16" outlineLevel="1" x14ac:dyDescent="0.2">
      <c r="B326" s="120"/>
      <c r="C326" s="68"/>
      <c r="D326" s="68"/>
      <c r="E326" s="77" t="s">
        <v>221</v>
      </c>
      <c r="F326" s="95"/>
      <c r="G326" s="122"/>
      <c r="H326" s="123"/>
      <c r="I326" s="89"/>
      <c r="J326" s="89"/>
      <c r="K326" s="71"/>
      <c r="L326" s="127"/>
      <c r="M326" s="93"/>
      <c r="N326" s="128">
        <f t="shared" si="56"/>
        <v>0</v>
      </c>
      <c r="O326" s="121"/>
      <c r="P326" s="124"/>
    </row>
    <row r="327" spans="2:16" outlineLevel="1" x14ac:dyDescent="0.2">
      <c r="B327" s="120"/>
      <c r="C327" s="68"/>
      <c r="D327" s="68"/>
      <c r="E327" s="69"/>
      <c r="F327" s="68" t="s">
        <v>362</v>
      </c>
      <c r="G327" s="131">
        <v>0</v>
      </c>
      <c r="H327" s="78" t="s">
        <v>1</v>
      </c>
      <c r="I327" s="121"/>
      <c r="J327" s="89"/>
      <c r="K327" s="71" t="s">
        <v>363</v>
      </c>
      <c r="L327" s="127">
        <f>360*1.25</f>
        <v>450</v>
      </c>
      <c r="M327" s="93"/>
      <c r="N327" s="128">
        <f t="shared" si="56"/>
        <v>450</v>
      </c>
      <c r="O327" s="128">
        <f t="shared" si="54"/>
        <v>450</v>
      </c>
      <c r="P327" s="129">
        <f t="shared" ref="P327:P334" si="59">G327*O327</f>
        <v>0</v>
      </c>
    </row>
    <row r="328" spans="2:16" outlineLevel="1" x14ac:dyDescent="0.2">
      <c r="B328" s="120"/>
      <c r="C328" s="68"/>
      <c r="D328" s="68"/>
      <c r="E328" s="69"/>
      <c r="F328" s="68" t="s">
        <v>364</v>
      </c>
      <c r="G328" s="131">
        <v>0</v>
      </c>
      <c r="H328" s="78" t="s">
        <v>1</v>
      </c>
      <c r="I328" s="121"/>
      <c r="J328" s="89"/>
      <c r="K328" s="71"/>
      <c r="L328" s="127">
        <f>50*1.2</f>
        <v>60</v>
      </c>
      <c r="M328" s="93"/>
      <c r="N328" s="128">
        <f t="shared" si="56"/>
        <v>60</v>
      </c>
      <c r="O328" s="128">
        <f t="shared" si="54"/>
        <v>60</v>
      </c>
      <c r="P328" s="129">
        <f t="shared" si="59"/>
        <v>0</v>
      </c>
    </row>
    <row r="329" spans="2:16" outlineLevel="1" x14ac:dyDescent="0.2">
      <c r="B329" s="120"/>
      <c r="C329" s="68"/>
      <c r="D329" s="68"/>
      <c r="E329" s="69"/>
      <c r="F329" s="68" t="s">
        <v>222</v>
      </c>
      <c r="G329" s="131">
        <v>0</v>
      </c>
      <c r="H329" s="78" t="s">
        <v>1</v>
      </c>
      <c r="I329" s="121"/>
      <c r="J329" s="89"/>
      <c r="K329" s="71"/>
      <c r="L329" s="127">
        <f>19.5</f>
        <v>19.5</v>
      </c>
      <c r="M329" s="93"/>
      <c r="N329" s="128">
        <f t="shared" si="56"/>
        <v>19.5</v>
      </c>
      <c r="O329" s="128">
        <f t="shared" si="54"/>
        <v>19.5</v>
      </c>
      <c r="P329" s="129">
        <f t="shared" si="59"/>
        <v>0</v>
      </c>
    </row>
    <row r="330" spans="2:16" outlineLevel="1" x14ac:dyDescent="0.2">
      <c r="B330" s="120"/>
      <c r="C330" s="68"/>
      <c r="D330" s="68"/>
      <c r="E330" s="69"/>
      <c r="F330" s="68" t="s">
        <v>354</v>
      </c>
      <c r="G330" s="131">
        <v>0</v>
      </c>
      <c r="H330" s="78" t="s">
        <v>75</v>
      </c>
      <c r="I330" s="121"/>
      <c r="J330" s="89"/>
      <c r="K330" s="71"/>
      <c r="L330" s="127">
        <v>15.5</v>
      </c>
      <c r="M330" s="93"/>
      <c r="N330" s="128">
        <f t="shared" si="56"/>
        <v>15.5</v>
      </c>
      <c r="O330" s="128">
        <f t="shared" si="54"/>
        <v>15.5</v>
      </c>
      <c r="P330" s="129">
        <f t="shared" si="59"/>
        <v>0</v>
      </c>
    </row>
    <row r="331" spans="2:16" outlineLevel="1" x14ac:dyDescent="0.2">
      <c r="B331" s="120"/>
      <c r="C331" s="68"/>
      <c r="D331" s="68"/>
      <c r="E331" s="69"/>
      <c r="F331" s="68" t="s">
        <v>356</v>
      </c>
      <c r="G331" s="122">
        <f>G330</f>
        <v>0</v>
      </c>
      <c r="H331" s="78" t="s">
        <v>75</v>
      </c>
      <c r="I331" s="121"/>
      <c r="J331" s="89"/>
      <c r="K331" s="71"/>
      <c r="L331" s="127">
        <f>4.5*1.1</f>
        <v>4.95</v>
      </c>
      <c r="M331" s="93"/>
      <c r="N331" s="128">
        <f t="shared" si="56"/>
        <v>4.95</v>
      </c>
      <c r="O331" s="128">
        <f t="shared" si="54"/>
        <v>4.95</v>
      </c>
      <c r="P331" s="129">
        <f t="shared" si="59"/>
        <v>0</v>
      </c>
    </row>
    <row r="332" spans="2:16" outlineLevel="1" x14ac:dyDescent="0.2">
      <c r="B332" s="120"/>
      <c r="C332" s="68"/>
      <c r="D332" s="68"/>
      <c r="E332" s="69"/>
      <c r="F332" s="68" t="s">
        <v>223</v>
      </c>
      <c r="G332" s="122">
        <f>G330</f>
        <v>0</v>
      </c>
      <c r="H332" s="78" t="s">
        <v>75</v>
      </c>
      <c r="I332" s="121"/>
      <c r="J332" s="89"/>
      <c r="K332" s="71"/>
      <c r="L332" s="127">
        <v>3.5</v>
      </c>
      <c r="M332" s="93"/>
      <c r="N332" s="128">
        <f t="shared" si="56"/>
        <v>3.5</v>
      </c>
      <c r="O332" s="128">
        <f t="shared" si="54"/>
        <v>3.5</v>
      </c>
      <c r="P332" s="129">
        <f t="shared" si="59"/>
        <v>0</v>
      </c>
    </row>
    <row r="333" spans="2:16" outlineLevel="1" x14ac:dyDescent="0.2">
      <c r="B333" s="120"/>
      <c r="C333" s="68"/>
      <c r="D333" s="68"/>
      <c r="E333" s="69"/>
      <c r="F333" s="68" t="s">
        <v>224</v>
      </c>
      <c r="G333" s="122">
        <f>G330</f>
        <v>0</v>
      </c>
      <c r="H333" s="78" t="s">
        <v>75</v>
      </c>
      <c r="I333" s="121"/>
      <c r="J333" s="89"/>
      <c r="K333" s="71"/>
      <c r="L333" s="127">
        <v>3.5</v>
      </c>
      <c r="M333" s="93"/>
      <c r="N333" s="128">
        <f t="shared" si="56"/>
        <v>3.5</v>
      </c>
      <c r="O333" s="128">
        <f t="shared" si="54"/>
        <v>3.5</v>
      </c>
      <c r="P333" s="129">
        <f t="shared" si="59"/>
        <v>0</v>
      </c>
    </row>
    <row r="334" spans="2:16" outlineLevel="1" x14ac:dyDescent="0.2">
      <c r="B334" s="120"/>
      <c r="C334" s="68"/>
      <c r="D334" s="68"/>
      <c r="E334" s="69"/>
      <c r="F334" s="68" t="s">
        <v>295</v>
      </c>
      <c r="G334" s="131">
        <v>0</v>
      </c>
      <c r="H334" s="78" t="s">
        <v>8</v>
      </c>
      <c r="I334" s="121"/>
      <c r="J334" s="89"/>
      <c r="K334" s="71"/>
      <c r="L334" s="127">
        <v>25</v>
      </c>
      <c r="M334" s="93"/>
      <c r="N334" s="128">
        <f t="shared" si="56"/>
        <v>25</v>
      </c>
      <c r="O334" s="128">
        <f t="shared" si="54"/>
        <v>25</v>
      </c>
      <c r="P334" s="129">
        <f t="shared" si="59"/>
        <v>0</v>
      </c>
    </row>
    <row r="335" spans="2:16" outlineLevel="1" x14ac:dyDescent="0.2">
      <c r="B335" s="120"/>
      <c r="C335" s="68"/>
      <c r="D335" s="68"/>
      <c r="E335" s="77" t="s">
        <v>225</v>
      </c>
      <c r="F335" s="121"/>
      <c r="G335" s="121"/>
      <c r="H335" s="123"/>
      <c r="I335" s="89"/>
      <c r="J335" s="89"/>
      <c r="K335" s="71"/>
      <c r="L335" s="127"/>
      <c r="M335" s="93"/>
      <c r="N335" s="128">
        <f t="shared" si="56"/>
        <v>0</v>
      </c>
      <c r="O335" s="121"/>
      <c r="P335" s="124"/>
    </row>
    <row r="336" spans="2:16" outlineLevel="1" x14ac:dyDescent="0.2">
      <c r="B336" s="120"/>
      <c r="C336" s="68"/>
      <c r="D336" s="68"/>
      <c r="E336" s="69"/>
      <c r="F336" s="68" t="s">
        <v>353</v>
      </c>
      <c r="G336" s="128">
        <f>G339</f>
        <v>0</v>
      </c>
      <c r="H336" s="123" t="s">
        <v>75</v>
      </c>
      <c r="I336" s="121"/>
      <c r="J336" s="89"/>
      <c r="K336" s="71"/>
      <c r="L336" s="127">
        <v>15</v>
      </c>
      <c r="M336" s="93"/>
      <c r="N336" s="128">
        <f t="shared" si="56"/>
        <v>15</v>
      </c>
      <c r="O336" s="128">
        <f t="shared" si="54"/>
        <v>15</v>
      </c>
      <c r="P336" s="129">
        <f t="shared" ref="P336:P352" si="60">G336*O336</f>
        <v>0</v>
      </c>
    </row>
    <row r="337" spans="2:16" outlineLevel="1" x14ac:dyDescent="0.2">
      <c r="B337" s="120"/>
      <c r="C337" s="68"/>
      <c r="D337" s="68"/>
      <c r="E337" s="69"/>
      <c r="F337" s="68" t="s">
        <v>226</v>
      </c>
      <c r="G337" s="215">
        <v>0</v>
      </c>
      <c r="H337" s="123" t="s">
        <v>1</v>
      </c>
      <c r="I337" s="121"/>
      <c r="J337" s="89"/>
      <c r="K337" s="71" t="s">
        <v>399</v>
      </c>
      <c r="L337" s="127">
        <f>270/1.19*1.2</f>
        <v>272.26890756302521</v>
      </c>
      <c r="M337" s="93"/>
      <c r="N337" s="128">
        <f t="shared" si="56"/>
        <v>272.26890756302521</v>
      </c>
      <c r="O337" s="128">
        <f t="shared" si="54"/>
        <v>272.26890756302521</v>
      </c>
      <c r="P337" s="129">
        <f t="shared" si="60"/>
        <v>0</v>
      </c>
    </row>
    <row r="338" spans="2:16" outlineLevel="1" x14ac:dyDescent="0.2">
      <c r="B338" s="120"/>
      <c r="C338" s="68"/>
      <c r="D338" s="68"/>
      <c r="E338" s="69"/>
      <c r="F338" s="68" t="s">
        <v>227</v>
      </c>
      <c r="G338" s="215">
        <v>0</v>
      </c>
      <c r="H338" s="78" t="s">
        <v>1</v>
      </c>
      <c r="I338" s="121"/>
      <c r="J338" s="89"/>
      <c r="K338" s="121" t="s">
        <v>228</v>
      </c>
      <c r="L338" s="127">
        <f>22.9/1.19*1.2</f>
        <v>23.092436974789916</v>
      </c>
      <c r="M338" s="93"/>
      <c r="N338" s="128">
        <f t="shared" si="56"/>
        <v>23.092436974789916</v>
      </c>
      <c r="O338" s="128">
        <f t="shared" si="54"/>
        <v>23.092436974789916</v>
      </c>
      <c r="P338" s="129">
        <f t="shared" si="60"/>
        <v>0</v>
      </c>
    </row>
    <row r="339" spans="2:16" outlineLevel="1" x14ac:dyDescent="0.2">
      <c r="B339" s="120"/>
      <c r="C339" s="68"/>
      <c r="D339" s="68"/>
      <c r="E339" s="69"/>
      <c r="F339" s="68" t="s">
        <v>400</v>
      </c>
      <c r="G339" s="215">
        <v>0</v>
      </c>
      <c r="H339" s="123" t="s">
        <v>75</v>
      </c>
      <c r="I339" s="121"/>
      <c r="J339" s="89"/>
      <c r="K339" s="71" t="s">
        <v>401</v>
      </c>
      <c r="L339" s="127">
        <f>34.93/3/1.19*1.2</f>
        <v>11.741176470588234</v>
      </c>
      <c r="M339" s="93"/>
      <c r="N339" s="128">
        <f t="shared" si="56"/>
        <v>11.741176470588234</v>
      </c>
      <c r="O339" s="128">
        <f t="shared" si="54"/>
        <v>11.741176470588234</v>
      </c>
      <c r="P339" s="129">
        <f t="shared" si="60"/>
        <v>0</v>
      </c>
    </row>
    <row r="340" spans="2:16" outlineLevel="1" x14ac:dyDescent="0.2">
      <c r="B340" s="120"/>
      <c r="C340" s="68"/>
      <c r="D340" s="68"/>
      <c r="E340" s="69"/>
      <c r="F340" s="68" t="s">
        <v>380</v>
      </c>
      <c r="G340" s="215">
        <v>0</v>
      </c>
      <c r="H340" s="78" t="s">
        <v>75</v>
      </c>
      <c r="I340" s="121"/>
      <c r="J340" s="89"/>
      <c r="K340" s="71"/>
      <c r="L340" s="127">
        <v>45</v>
      </c>
      <c r="M340" s="93"/>
      <c r="N340" s="128">
        <f t="shared" si="56"/>
        <v>45</v>
      </c>
      <c r="O340" s="128">
        <f t="shared" si="54"/>
        <v>45</v>
      </c>
      <c r="P340" s="129">
        <f t="shared" si="60"/>
        <v>0</v>
      </c>
    </row>
    <row r="341" spans="2:16" outlineLevel="1" x14ac:dyDescent="0.2">
      <c r="B341" s="120"/>
      <c r="C341" s="68"/>
      <c r="D341" s="68"/>
      <c r="E341" s="69"/>
      <c r="F341" s="68" t="s">
        <v>403</v>
      </c>
      <c r="G341" s="215">
        <v>0</v>
      </c>
      <c r="H341" s="78" t="s">
        <v>1</v>
      </c>
      <c r="I341" s="121"/>
      <c r="J341" s="89"/>
      <c r="K341" s="71" t="s">
        <v>402</v>
      </c>
      <c r="L341" s="127">
        <f>5.38/1.19*1.2</f>
        <v>5.4252100840336128</v>
      </c>
      <c r="M341" s="93"/>
      <c r="N341" s="128">
        <f t="shared" si="56"/>
        <v>5.4252100840336128</v>
      </c>
      <c r="O341" s="128">
        <f t="shared" si="54"/>
        <v>5.4252100840336128</v>
      </c>
      <c r="P341" s="129">
        <f t="shared" si="60"/>
        <v>0</v>
      </c>
    </row>
    <row r="342" spans="2:16" outlineLevel="1" x14ac:dyDescent="0.2">
      <c r="B342" s="120"/>
      <c r="C342" s="68"/>
      <c r="D342" s="68"/>
      <c r="E342" s="69"/>
      <c r="F342" s="68" t="s">
        <v>229</v>
      </c>
      <c r="G342" s="215">
        <v>0</v>
      </c>
      <c r="H342" s="78" t="s">
        <v>1</v>
      </c>
      <c r="I342" s="121"/>
      <c r="J342" s="89"/>
      <c r="K342" s="71"/>
      <c r="L342" s="127">
        <v>25</v>
      </c>
      <c r="M342" s="93"/>
      <c r="N342" s="128">
        <f t="shared" si="56"/>
        <v>25</v>
      </c>
      <c r="O342" s="128">
        <f t="shared" si="54"/>
        <v>25</v>
      </c>
      <c r="P342" s="129">
        <f t="shared" si="60"/>
        <v>0</v>
      </c>
    </row>
    <row r="343" spans="2:16" outlineLevel="1" x14ac:dyDescent="0.2">
      <c r="B343" s="120"/>
      <c r="C343" s="68"/>
      <c r="D343" s="68"/>
      <c r="E343" s="69"/>
      <c r="F343" s="68" t="s">
        <v>408</v>
      </c>
      <c r="G343" s="215">
        <v>0</v>
      </c>
      <c r="H343" s="78" t="s">
        <v>1</v>
      </c>
      <c r="I343" s="121"/>
      <c r="J343" s="89"/>
      <c r="K343" s="71" t="s">
        <v>404</v>
      </c>
      <c r="L343" s="127">
        <f>3.78/1.19*1.2</f>
        <v>3.8117647058823527</v>
      </c>
      <c r="M343" s="93"/>
      <c r="N343" s="128">
        <f t="shared" si="56"/>
        <v>3.8117647058823527</v>
      </c>
      <c r="O343" s="128">
        <f t="shared" si="54"/>
        <v>3.8117647058823527</v>
      </c>
      <c r="P343" s="129">
        <f t="shared" si="60"/>
        <v>0</v>
      </c>
    </row>
    <row r="344" spans="2:16" outlineLevel="1" x14ac:dyDescent="0.2">
      <c r="B344" s="120"/>
      <c r="C344" s="68"/>
      <c r="D344" s="68"/>
      <c r="E344" s="69"/>
      <c r="F344" s="68" t="s">
        <v>409</v>
      </c>
      <c r="G344" s="215">
        <v>0</v>
      </c>
      <c r="H344" s="78" t="s">
        <v>1</v>
      </c>
      <c r="I344" s="121"/>
      <c r="J344" s="89"/>
      <c r="K344" s="71" t="s">
        <v>405</v>
      </c>
      <c r="L344" s="127">
        <f>6.94/1.19*1.2</f>
        <v>6.9983193277310933</v>
      </c>
      <c r="M344" s="93"/>
      <c r="N344" s="128">
        <f t="shared" si="56"/>
        <v>6.9983193277310933</v>
      </c>
      <c r="O344" s="128">
        <f t="shared" si="54"/>
        <v>6.9983193277310933</v>
      </c>
      <c r="P344" s="129">
        <f t="shared" si="60"/>
        <v>0</v>
      </c>
    </row>
    <row r="345" spans="2:16" outlineLevel="1" x14ac:dyDescent="0.2">
      <c r="B345" s="120"/>
      <c r="C345" s="68"/>
      <c r="D345" s="68"/>
      <c r="E345" s="69"/>
      <c r="F345" s="68" t="s">
        <v>382</v>
      </c>
      <c r="G345" s="216">
        <f>G339</f>
        <v>0</v>
      </c>
      <c r="H345" s="78" t="s">
        <v>1</v>
      </c>
      <c r="I345" s="121"/>
      <c r="J345" s="89"/>
      <c r="K345" s="71"/>
      <c r="L345" s="127">
        <v>12</v>
      </c>
      <c r="M345" s="93"/>
      <c r="N345" s="128">
        <f t="shared" si="56"/>
        <v>12</v>
      </c>
      <c r="O345" s="128">
        <f t="shared" si="54"/>
        <v>12</v>
      </c>
      <c r="P345" s="129">
        <f t="shared" si="60"/>
        <v>0</v>
      </c>
    </row>
    <row r="346" spans="2:16" outlineLevel="1" x14ac:dyDescent="0.2">
      <c r="B346" s="120"/>
      <c r="C346" s="68"/>
      <c r="D346" s="68"/>
      <c r="E346" s="69"/>
      <c r="F346" s="68" t="s">
        <v>407</v>
      </c>
      <c r="G346" s="215">
        <v>0</v>
      </c>
      <c r="H346" s="78" t="s">
        <v>75</v>
      </c>
      <c r="I346" s="121"/>
      <c r="J346" s="89"/>
      <c r="K346" s="71" t="s">
        <v>406</v>
      </c>
      <c r="L346" s="127">
        <f>9.84/1.19/3*1.2</f>
        <v>3.3075630252100843</v>
      </c>
      <c r="M346" s="93"/>
      <c r="N346" s="128">
        <f t="shared" si="56"/>
        <v>3.3075630252100843</v>
      </c>
      <c r="O346" s="128">
        <f t="shared" si="54"/>
        <v>3.3075630252100843</v>
      </c>
      <c r="P346" s="129">
        <f t="shared" si="60"/>
        <v>0</v>
      </c>
    </row>
    <row r="347" spans="2:16" outlineLevel="1" x14ac:dyDescent="0.2">
      <c r="B347" s="120"/>
      <c r="C347" s="68"/>
      <c r="D347" s="68"/>
      <c r="E347" s="69"/>
      <c r="F347" s="68" t="s">
        <v>414</v>
      </c>
      <c r="G347" s="215">
        <v>0</v>
      </c>
      <c r="H347" s="78" t="s">
        <v>1</v>
      </c>
      <c r="I347" s="121"/>
      <c r="J347" s="89"/>
      <c r="K347" s="71" t="s">
        <v>410</v>
      </c>
      <c r="L347" s="127">
        <f>1.05/1.19*1.2</f>
        <v>1.0588235294117647</v>
      </c>
      <c r="M347" s="93"/>
      <c r="N347" s="128">
        <f t="shared" si="56"/>
        <v>1.0588235294117647</v>
      </c>
      <c r="O347" s="128">
        <f t="shared" si="54"/>
        <v>1.0588235294117647</v>
      </c>
      <c r="P347" s="129">
        <f t="shared" si="60"/>
        <v>0</v>
      </c>
    </row>
    <row r="348" spans="2:16" outlineLevel="1" x14ac:dyDescent="0.2">
      <c r="B348" s="120"/>
      <c r="C348" s="68"/>
      <c r="D348" s="68"/>
      <c r="E348" s="69"/>
      <c r="F348" s="68" t="s">
        <v>412</v>
      </c>
      <c r="G348" s="215">
        <v>0</v>
      </c>
      <c r="H348" s="78" t="s">
        <v>75</v>
      </c>
      <c r="I348" s="121"/>
      <c r="J348" s="89"/>
      <c r="K348" s="71" t="s">
        <v>411</v>
      </c>
      <c r="L348" s="127">
        <f>12.36/1.19*1.2</f>
        <v>12.463865546218488</v>
      </c>
      <c r="M348" s="93"/>
      <c r="N348" s="128">
        <f t="shared" si="56"/>
        <v>12.463865546218488</v>
      </c>
      <c r="O348" s="128">
        <f t="shared" si="54"/>
        <v>12.463865546218488</v>
      </c>
      <c r="P348" s="129">
        <f t="shared" si="60"/>
        <v>0</v>
      </c>
    </row>
    <row r="349" spans="2:16" outlineLevel="1" x14ac:dyDescent="0.2">
      <c r="B349" s="120"/>
      <c r="C349" s="68"/>
      <c r="D349" s="68"/>
      <c r="E349" s="69"/>
      <c r="F349" s="68" t="s">
        <v>413</v>
      </c>
      <c r="G349" s="215">
        <v>0</v>
      </c>
      <c r="H349" s="78" t="s">
        <v>1</v>
      </c>
      <c r="I349" s="121"/>
      <c r="J349" s="89"/>
      <c r="K349" s="71" t="s">
        <v>415</v>
      </c>
      <c r="L349" s="127">
        <f>1.17/1.19*1.2</f>
        <v>1.179831932773109</v>
      </c>
      <c r="M349" s="93"/>
      <c r="N349" s="128">
        <f t="shared" si="56"/>
        <v>1.179831932773109</v>
      </c>
      <c r="O349" s="128">
        <f t="shared" si="54"/>
        <v>1.179831932773109</v>
      </c>
      <c r="P349" s="129">
        <f t="shared" si="60"/>
        <v>0</v>
      </c>
    </row>
    <row r="350" spans="2:16" outlineLevel="1" x14ac:dyDescent="0.2">
      <c r="B350" s="120"/>
      <c r="C350" s="68"/>
      <c r="D350" s="68"/>
      <c r="E350" s="69"/>
      <c r="F350" s="68" t="s">
        <v>230</v>
      </c>
      <c r="G350" s="215">
        <v>0</v>
      </c>
      <c r="H350" s="123" t="s">
        <v>1</v>
      </c>
      <c r="I350" s="121"/>
      <c r="J350" s="89"/>
      <c r="K350" s="71" t="s">
        <v>416</v>
      </c>
      <c r="L350" s="127">
        <f>25/1.19*1.2</f>
        <v>25.210084033613445</v>
      </c>
      <c r="M350" s="93"/>
      <c r="N350" s="128">
        <f t="shared" si="56"/>
        <v>25.210084033613445</v>
      </c>
      <c r="O350" s="128">
        <f t="shared" si="54"/>
        <v>25.210084033613445</v>
      </c>
      <c r="P350" s="129">
        <f t="shared" si="60"/>
        <v>0</v>
      </c>
    </row>
    <row r="351" spans="2:16" outlineLevel="1" x14ac:dyDescent="0.2">
      <c r="B351" s="120"/>
      <c r="C351" s="68"/>
      <c r="D351" s="68"/>
      <c r="E351" s="69"/>
      <c r="F351" s="68" t="s">
        <v>417</v>
      </c>
      <c r="G351" s="127">
        <f>G348*0.5</f>
        <v>0</v>
      </c>
      <c r="H351" s="78" t="s">
        <v>1</v>
      </c>
      <c r="I351" s="121"/>
      <c r="J351" s="89"/>
      <c r="K351" s="71" t="s">
        <v>418</v>
      </c>
      <c r="L351" s="127">
        <f>11.14/1.19*1.2</f>
        <v>11.233613445378152</v>
      </c>
      <c r="M351" s="93"/>
      <c r="N351" s="128">
        <f t="shared" si="56"/>
        <v>11.233613445378152</v>
      </c>
      <c r="O351" s="128">
        <f t="shared" si="54"/>
        <v>11.233613445378152</v>
      </c>
      <c r="P351" s="129">
        <f t="shared" si="60"/>
        <v>0</v>
      </c>
    </row>
    <row r="352" spans="2:16" outlineLevel="1" x14ac:dyDescent="0.2">
      <c r="B352" s="120"/>
      <c r="C352" s="68"/>
      <c r="D352" s="68"/>
      <c r="E352" s="69"/>
      <c r="F352" s="68" t="s">
        <v>295</v>
      </c>
      <c r="G352" s="215">
        <v>0</v>
      </c>
      <c r="H352" s="78" t="s">
        <v>8</v>
      </c>
      <c r="I352" s="121"/>
      <c r="J352" s="89"/>
      <c r="K352" s="71"/>
      <c r="L352" s="127">
        <v>25</v>
      </c>
      <c r="M352" s="93"/>
      <c r="N352" s="128">
        <f t="shared" si="56"/>
        <v>25</v>
      </c>
      <c r="O352" s="128">
        <f t="shared" si="54"/>
        <v>25</v>
      </c>
      <c r="P352" s="129">
        <f t="shared" si="60"/>
        <v>0</v>
      </c>
    </row>
    <row r="353" spans="2:16" outlineLevel="1" x14ac:dyDescent="0.2">
      <c r="B353" s="120"/>
      <c r="C353" s="68"/>
      <c r="D353" s="68"/>
      <c r="E353" s="77" t="s">
        <v>231</v>
      </c>
      <c r="F353" s="95"/>
      <c r="G353" s="122"/>
      <c r="H353" s="123"/>
      <c r="I353" s="89"/>
      <c r="J353" s="89"/>
      <c r="K353" s="71"/>
      <c r="L353" s="127"/>
      <c r="M353" s="93"/>
      <c r="N353" s="128">
        <f t="shared" si="56"/>
        <v>0</v>
      </c>
      <c r="O353" s="121"/>
      <c r="P353" s="124"/>
    </row>
    <row r="354" spans="2:16" outlineLevel="1" x14ac:dyDescent="0.2">
      <c r="B354" s="120"/>
      <c r="C354" s="68"/>
      <c r="D354" s="68"/>
      <c r="E354" s="69"/>
      <c r="F354" s="68" t="s">
        <v>459</v>
      </c>
      <c r="G354" s="131">
        <v>0</v>
      </c>
      <c r="H354" s="78" t="s">
        <v>3</v>
      </c>
      <c r="I354" s="121"/>
      <c r="J354" s="89"/>
      <c r="K354" s="71"/>
      <c r="L354" s="127">
        <v>25</v>
      </c>
      <c r="M354" s="93"/>
      <c r="N354" s="128">
        <f t="shared" si="56"/>
        <v>25</v>
      </c>
      <c r="O354" s="128">
        <f t="shared" si="54"/>
        <v>25</v>
      </c>
      <c r="P354" s="129">
        <f t="shared" ref="P354:P369" si="61">G354*O354</f>
        <v>0</v>
      </c>
    </row>
    <row r="355" spans="2:16" outlineLevel="1" x14ac:dyDescent="0.2">
      <c r="B355" s="120"/>
      <c r="C355" s="68"/>
      <c r="D355" s="68"/>
      <c r="E355" s="69"/>
      <c r="F355" s="68" t="s">
        <v>486</v>
      </c>
      <c r="G355" s="122">
        <f>(G365)*0.6*1</f>
        <v>0</v>
      </c>
      <c r="H355" s="78" t="s">
        <v>4</v>
      </c>
      <c r="I355" s="121"/>
      <c r="J355" s="89"/>
      <c r="K355" s="71" t="s">
        <v>485</v>
      </c>
      <c r="L355" s="80">
        <v>31.9</v>
      </c>
      <c r="M355" s="93"/>
      <c r="N355" s="128">
        <f t="shared" si="56"/>
        <v>31.9</v>
      </c>
      <c r="O355" s="128">
        <f t="shared" si="54"/>
        <v>31.9</v>
      </c>
      <c r="P355" s="129">
        <f t="shared" si="61"/>
        <v>0</v>
      </c>
    </row>
    <row r="356" spans="2:16" outlineLevel="1" x14ac:dyDescent="0.2">
      <c r="B356" s="120"/>
      <c r="C356" s="68"/>
      <c r="D356" s="68"/>
      <c r="E356" s="69"/>
      <c r="F356" s="68" t="s">
        <v>81</v>
      </c>
      <c r="G356" s="131">
        <v>0</v>
      </c>
      <c r="H356" s="78" t="s">
        <v>4</v>
      </c>
      <c r="I356" s="121"/>
      <c r="J356" s="89"/>
      <c r="K356" s="71" t="s">
        <v>152</v>
      </c>
      <c r="L356" s="80">
        <v>16.36</v>
      </c>
      <c r="M356" s="93"/>
      <c r="N356" s="128">
        <f t="shared" si="56"/>
        <v>16.36</v>
      </c>
      <c r="O356" s="128">
        <f t="shared" si="54"/>
        <v>16.36</v>
      </c>
      <c r="P356" s="129">
        <f t="shared" si="61"/>
        <v>0</v>
      </c>
    </row>
    <row r="357" spans="2:16" outlineLevel="1" x14ac:dyDescent="0.2">
      <c r="B357" s="120"/>
      <c r="C357" s="68"/>
      <c r="D357" s="68"/>
      <c r="E357" s="69"/>
      <c r="F357" s="68" t="s">
        <v>154</v>
      </c>
      <c r="G357" s="131">
        <v>0</v>
      </c>
      <c r="H357" s="78" t="s">
        <v>4</v>
      </c>
      <c r="I357" s="121"/>
      <c r="J357" s="89"/>
      <c r="K357" s="71" t="s">
        <v>155</v>
      </c>
      <c r="L357" s="80">
        <v>3.28</v>
      </c>
      <c r="M357" s="93"/>
      <c r="N357" s="128">
        <f t="shared" ref="N357:N410" si="62">L357*M$290</f>
        <v>3.28</v>
      </c>
      <c r="O357" s="128">
        <f t="shared" si="54"/>
        <v>3.28</v>
      </c>
      <c r="P357" s="129">
        <f t="shared" si="61"/>
        <v>0</v>
      </c>
    </row>
    <row r="358" spans="2:16" outlineLevel="1" x14ac:dyDescent="0.2">
      <c r="B358" s="120"/>
      <c r="C358" s="68"/>
      <c r="D358" s="68"/>
      <c r="E358" s="69"/>
      <c r="F358" s="68" t="s">
        <v>444</v>
      </c>
      <c r="G358" s="131">
        <v>0</v>
      </c>
      <c r="H358" s="78" t="s">
        <v>4</v>
      </c>
      <c r="I358" s="121"/>
      <c r="J358" s="89"/>
      <c r="K358" s="71" t="s">
        <v>156</v>
      </c>
      <c r="L358" s="80">
        <v>7.38</v>
      </c>
      <c r="M358" s="93"/>
      <c r="N358" s="128">
        <f t="shared" si="62"/>
        <v>7.38</v>
      </c>
      <c r="O358" s="128">
        <f t="shared" si="54"/>
        <v>7.38</v>
      </c>
      <c r="P358" s="129">
        <f t="shared" si="61"/>
        <v>0</v>
      </c>
    </row>
    <row r="359" spans="2:16" outlineLevel="1" x14ac:dyDescent="0.2">
      <c r="B359" s="120"/>
      <c r="C359" s="68"/>
      <c r="D359" s="68"/>
      <c r="E359" s="69"/>
      <c r="F359" s="68" t="s">
        <v>497</v>
      </c>
      <c r="G359" s="131">
        <v>0</v>
      </c>
      <c r="H359" s="78" t="s">
        <v>3</v>
      </c>
      <c r="I359" s="121"/>
      <c r="J359" s="89"/>
      <c r="K359" s="71" t="s">
        <v>120</v>
      </c>
      <c r="L359" s="80">
        <v>58.5</v>
      </c>
      <c r="M359" s="93"/>
      <c r="N359" s="128">
        <f t="shared" si="62"/>
        <v>58.5</v>
      </c>
      <c r="O359" s="128">
        <f t="shared" si="54"/>
        <v>58.5</v>
      </c>
      <c r="P359" s="129">
        <f t="shared" si="61"/>
        <v>0</v>
      </c>
    </row>
    <row r="360" spans="2:16" outlineLevel="1" x14ac:dyDescent="0.2">
      <c r="B360" s="120"/>
      <c r="C360" s="68"/>
      <c r="D360" s="68"/>
      <c r="E360" s="69"/>
      <c r="F360" s="68" t="s">
        <v>232</v>
      </c>
      <c r="G360" s="131">
        <v>0</v>
      </c>
      <c r="H360" s="123" t="s">
        <v>1</v>
      </c>
      <c r="I360" s="121"/>
      <c r="J360" s="89"/>
      <c r="K360" s="71"/>
      <c r="L360" s="127">
        <v>1500</v>
      </c>
      <c r="M360" s="93"/>
      <c r="N360" s="128">
        <f t="shared" si="62"/>
        <v>1500</v>
      </c>
      <c r="O360" s="128">
        <f t="shared" si="54"/>
        <v>1500</v>
      </c>
      <c r="P360" s="129">
        <f t="shared" si="61"/>
        <v>0</v>
      </c>
    </row>
    <row r="361" spans="2:16" outlineLevel="1" x14ac:dyDescent="0.2">
      <c r="B361" s="120"/>
      <c r="C361" s="68"/>
      <c r="D361" s="68"/>
      <c r="E361" s="69"/>
      <c r="F361" s="68" t="s">
        <v>233</v>
      </c>
      <c r="G361" s="131">
        <v>0</v>
      </c>
      <c r="H361" s="123" t="s">
        <v>1</v>
      </c>
      <c r="I361" s="121"/>
      <c r="J361" s="89"/>
      <c r="K361" s="71"/>
      <c r="L361" s="127">
        <v>1500</v>
      </c>
      <c r="M361" s="93"/>
      <c r="N361" s="128">
        <f t="shared" si="62"/>
        <v>1500</v>
      </c>
      <c r="O361" s="128">
        <f t="shared" si="54"/>
        <v>1500</v>
      </c>
      <c r="P361" s="129">
        <f t="shared" si="61"/>
        <v>0</v>
      </c>
    </row>
    <row r="362" spans="2:16" outlineLevel="1" x14ac:dyDescent="0.2">
      <c r="B362" s="120"/>
      <c r="C362" s="68"/>
      <c r="D362" s="68"/>
      <c r="E362" s="69"/>
      <c r="F362" s="68" t="s">
        <v>234</v>
      </c>
      <c r="G362" s="131">
        <v>0</v>
      </c>
      <c r="H362" s="123" t="s">
        <v>1</v>
      </c>
      <c r="I362" s="121"/>
      <c r="J362" s="89"/>
      <c r="K362" s="71"/>
      <c r="L362" s="127">
        <v>1500</v>
      </c>
      <c r="M362" s="93"/>
      <c r="N362" s="128">
        <f t="shared" si="62"/>
        <v>1500</v>
      </c>
      <c r="O362" s="128">
        <f t="shared" si="54"/>
        <v>1500</v>
      </c>
      <c r="P362" s="129">
        <f t="shared" si="61"/>
        <v>0</v>
      </c>
    </row>
    <row r="363" spans="2:16" outlineLevel="1" x14ac:dyDescent="0.2">
      <c r="B363" s="120"/>
      <c r="C363" s="68"/>
      <c r="D363" s="68"/>
      <c r="E363" s="69"/>
      <c r="F363" s="68" t="s">
        <v>235</v>
      </c>
      <c r="G363" s="131">
        <v>0</v>
      </c>
      <c r="H363" s="123" t="s">
        <v>1</v>
      </c>
      <c r="I363" s="121"/>
      <c r="J363" s="89"/>
      <c r="K363" s="71"/>
      <c r="L363" s="127">
        <v>250</v>
      </c>
      <c r="M363" s="93"/>
      <c r="N363" s="128">
        <f t="shared" si="62"/>
        <v>250</v>
      </c>
      <c r="O363" s="128">
        <f t="shared" si="54"/>
        <v>250</v>
      </c>
      <c r="P363" s="129">
        <f t="shared" si="61"/>
        <v>0</v>
      </c>
    </row>
    <row r="364" spans="2:16" outlineLevel="1" x14ac:dyDescent="0.2">
      <c r="B364" s="120"/>
      <c r="C364" s="68"/>
      <c r="D364" s="68"/>
      <c r="E364" s="69"/>
      <c r="F364" s="68" t="s">
        <v>236</v>
      </c>
      <c r="G364" s="131">
        <v>0</v>
      </c>
      <c r="H364" s="123" t="s">
        <v>1</v>
      </c>
      <c r="I364" s="121"/>
      <c r="J364" s="89"/>
      <c r="K364" s="71"/>
      <c r="L364" s="127">
        <f>183/1.19*1.2</f>
        <v>184.53781512605042</v>
      </c>
      <c r="M364" s="93"/>
      <c r="N364" s="128">
        <f t="shared" si="62"/>
        <v>184.53781512605042</v>
      </c>
      <c r="O364" s="128">
        <f t="shared" si="54"/>
        <v>184.53781512605042</v>
      </c>
      <c r="P364" s="129">
        <f t="shared" si="61"/>
        <v>0</v>
      </c>
    </row>
    <row r="365" spans="2:16" outlineLevel="1" x14ac:dyDescent="0.2">
      <c r="B365" s="120"/>
      <c r="C365" s="68"/>
      <c r="D365" s="68"/>
      <c r="E365" s="69"/>
      <c r="F365" s="68" t="s">
        <v>419</v>
      </c>
      <c r="G365" s="131">
        <v>0</v>
      </c>
      <c r="H365" s="123" t="s">
        <v>75</v>
      </c>
      <c r="I365" s="121"/>
      <c r="J365" s="89"/>
      <c r="K365" s="71"/>
      <c r="L365" s="127">
        <f>98.33/1.19/6*1.3</f>
        <v>17.903221288515407</v>
      </c>
      <c r="M365" s="93"/>
      <c r="N365" s="128">
        <f t="shared" si="62"/>
        <v>17.903221288515407</v>
      </c>
      <c r="O365" s="128">
        <f t="shared" si="54"/>
        <v>17.903221288515407</v>
      </c>
      <c r="P365" s="129">
        <f t="shared" si="61"/>
        <v>0</v>
      </c>
    </row>
    <row r="366" spans="2:16" outlineLevel="1" x14ac:dyDescent="0.2">
      <c r="B366" s="120"/>
      <c r="C366" s="68"/>
      <c r="D366" s="68"/>
      <c r="E366" s="69"/>
      <c r="F366" s="68" t="s">
        <v>237</v>
      </c>
      <c r="G366" s="131">
        <v>0</v>
      </c>
      <c r="H366" s="123" t="s">
        <v>1</v>
      </c>
      <c r="I366" s="121"/>
      <c r="J366" s="89"/>
      <c r="K366" s="121" t="s">
        <v>238</v>
      </c>
      <c r="L366" s="127">
        <f>23/1.19*1.2</f>
        <v>23.193277310924373</v>
      </c>
      <c r="M366" s="93"/>
      <c r="N366" s="128">
        <f t="shared" si="62"/>
        <v>23.193277310924373</v>
      </c>
      <c r="O366" s="128">
        <f t="shared" si="54"/>
        <v>23.193277310924373</v>
      </c>
      <c r="P366" s="129">
        <f t="shared" si="61"/>
        <v>0</v>
      </c>
    </row>
    <row r="367" spans="2:16" outlineLevel="1" x14ac:dyDescent="0.2">
      <c r="B367" s="120"/>
      <c r="C367" s="68"/>
      <c r="D367" s="68"/>
      <c r="E367" s="69"/>
      <c r="F367" s="68" t="s">
        <v>239</v>
      </c>
      <c r="G367" s="131">
        <v>0</v>
      </c>
      <c r="H367" s="123" t="s">
        <v>1</v>
      </c>
      <c r="I367" s="121"/>
      <c r="J367" s="89"/>
      <c r="K367" s="121" t="s">
        <v>240</v>
      </c>
      <c r="L367" s="127">
        <f>9/1.19*1.2</f>
        <v>9.0756302521008401</v>
      </c>
      <c r="M367" s="93"/>
      <c r="N367" s="128">
        <f t="shared" si="62"/>
        <v>9.0756302521008401</v>
      </c>
      <c r="O367" s="128">
        <f t="shared" si="54"/>
        <v>9.0756302521008401</v>
      </c>
      <c r="P367" s="129">
        <f t="shared" si="61"/>
        <v>0</v>
      </c>
    </row>
    <row r="368" spans="2:16" outlineLevel="1" x14ac:dyDescent="0.2">
      <c r="B368" s="120"/>
      <c r="C368" s="68"/>
      <c r="D368" s="68"/>
      <c r="E368" s="69"/>
      <c r="F368" s="68" t="s">
        <v>241</v>
      </c>
      <c r="G368" s="122">
        <f>G365</f>
        <v>0</v>
      </c>
      <c r="H368" s="78" t="s">
        <v>75</v>
      </c>
      <c r="I368" s="121"/>
      <c r="J368" s="89"/>
      <c r="K368" s="71"/>
      <c r="L368" s="127">
        <v>3.5</v>
      </c>
      <c r="M368" s="93"/>
      <c r="N368" s="128">
        <f t="shared" si="62"/>
        <v>3.5</v>
      </c>
      <c r="O368" s="128">
        <f t="shared" ref="O368:O389" si="63">N368</f>
        <v>3.5</v>
      </c>
      <c r="P368" s="129">
        <f t="shared" si="61"/>
        <v>0</v>
      </c>
    </row>
    <row r="369" spans="2:16" outlineLevel="1" x14ac:dyDescent="0.2">
      <c r="B369" s="120"/>
      <c r="C369" s="68"/>
      <c r="D369" s="68"/>
      <c r="E369" s="69"/>
      <c r="F369" s="68" t="s">
        <v>295</v>
      </c>
      <c r="G369" s="131">
        <v>0</v>
      </c>
      <c r="H369" s="78" t="s">
        <v>8</v>
      </c>
      <c r="I369" s="121"/>
      <c r="J369" s="89"/>
      <c r="K369" s="71"/>
      <c r="L369" s="127">
        <v>25</v>
      </c>
      <c r="M369" s="93"/>
      <c r="N369" s="128">
        <f t="shared" si="62"/>
        <v>25</v>
      </c>
      <c r="O369" s="128">
        <f t="shared" si="63"/>
        <v>25</v>
      </c>
      <c r="P369" s="129">
        <f t="shared" si="61"/>
        <v>0</v>
      </c>
    </row>
    <row r="370" spans="2:16" outlineLevel="1" x14ac:dyDescent="0.2">
      <c r="B370" s="120"/>
      <c r="C370" s="68"/>
      <c r="D370" s="68"/>
      <c r="E370" s="77" t="s">
        <v>242</v>
      </c>
      <c r="F370" s="68"/>
      <c r="G370" s="122"/>
      <c r="H370" s="123"/>
      <c r="I370" s="89"/>
      <c r="J370" s="89"/>
      <c r="K370" s="71"/>
      <c r="L370" s="127"/>
      <c r="M370" s="93"/>
      <c r="N370" s="128">
        <f t="shared" si="62"/>
        <v>0</v>
      </c>
      <c r="O370" s="121"/>
      <c r="P370" s="124"/>
    </row>
    <row r="371" spans="2:16" outlineLevel="1" x14ac:dyDescent="0.2">
      <c r="B371" s="120"/>
      <c r="C371" s="68"/>
      <c r="D371" s="68"/>
      <c r="E371" s="74"/>
      <c r="F371" s="68" t="s">
        <v>487</v>
      </c>
      <c r="G371" s="131">
        <v>0</v>
      </c>
      <c r="H371" s="78" t="s">
        <v>1</v>
      </c>
      <c r="I371" s="121"/>
      <c r="J371" s="89"/>
      <c r="K371" s="71" t="s">
        <v>243</v>
      </c>
      <c r="L371" s="127">
        <v>28.64</v>
      </c>
      <c r="M371" s="93"/>
      <c r="N371" s="128">
        <f t="shared" si="62"/>
        <v>28.64</v>
      </c>
      <c r="O371" s="128">
        <f t="shared" si="63"/>
        <v>28.64</v>
      </c>
      <c r="P371" s="129">
        <f t="shared" ref="P371:P376" si="64">G371*O371</f>
        <v>0</v>
      </c>
    </row>
    <row r="372" spans="2:16" outlineLevel="1" x14ac:dyDescent="0.2">
      <c r="B372" s="120"/>
      <c r="C372" s="68"/>
      <c r="D372" s="68"/>
      <c r="E372" s="74"/>
      <c r="F372" s="68" t="s">
        <v>244</v>
      </c>
      <c r="G372" s="131">
        <v>0</v>
      </c>
      <c r="H372" s="78" t="s">
        <v>1</v>
      </c>
      <c r="I372" s="121"/>
      <c r="J372" s="89"/>
      <c r="K372" s="71" t="s">
        <v>243</v>
      </c>
      <c r="L372" s="127">
        <v>28.64</v>
      </c>
      <c r="M372" s="93"/>
      <c r="N372" s="128">
        <f t="shared" si="62"/>
        <v>28.64</v>
      </c>
      <c r="O372" s="128">
        <f t="shared" si="63"/>
        <v>28.64</v>
      </c>
      <c r="P372" s="129">
        <f t="shared" si="64"/>
        <v>0</v>
      </c>
    </row>
    <row r="373" spans="2:16" outlineLevel="1" x14ac:dyDescent="0.2">
      <c r="B373" s="120"/>
      <c r="C373" s="68"/>
      <c r="D373" s="68"/>
      <c r="E373" s="86"/>
      <c r="F373" s="68" t="s">
        <v>442</v>
      </c>
      <c r="G373" s="131">
        <v>0</v>
      </c>
      <c r="H373" s="78" t="s">
        <v>1</v>
      </c>
      <c r="I373" s="121"/>
      <c r="J373" s="89"/>
      <c r="K373" s="71" t="s">
        <v>245</v>
      </c>
      <c r="L373" s="127">
        <v>54.58</v>
      </c>
      <c r="M373" s="93"/>
      <c r="N373" s="128">
        <f t="shared" si="62"/>
        <v>54.58</v>
      </c>
      <c r="O373" s="128">
        <f t="shared" si="63"/>
        <v>54.58</v>
      </c>
      <c r="P373" s="129">
        <f t="shared" si="64"/>
        <v>0</v>
      </c>
    </row>
    <row r="374" spans="2:16" outlineLevel="1" x14ac:dyDescent="0.2">
      <c r="B374" s="120"/>
      <c r="C374" s="68"/>
      <c r="D374" s="68"/>
      <c r="E374" s="86"/>
      <c r="F374" s="68" t="s">
        <v>499</v>
      </c>
      <c r="G374" s="131">
        <v>0</v>
      </c>
      <c r="H374" s="78" t="s">
        <v>1</v>
      </c>
      <c r="I374" s="121"/>
      <c r="J374" s="89"/>
      <c r="K374" s="71" t="s">
        <v>246</v>
      </c>
      <c r="L374" s="127">
        <v>18.010000000000002</v>
      </c>
      <c r="M374" s="93"/>
      <c r="N374" s="128">
        <f t="shared" si="62"/>
        <v>18.010000000000002</v>
      </c>
      <c r="O374" s="128">
        <f t="shared" si="63"/>
        <v>18.010000000000002</v>
      </c>
      <c r="P374" s="129">
        <f t="shared" si="64"/>
        <v>0</v>
      </c>
    </row>
    <row r="375" spans="2:16" outlineLevel="1" x14ac:dyDescent="0.2">
      <c r="B375" s="120"/>
      <c r="C375" s="68"/>
      <c r="D375" s="68"/>
      <c r="E375" s="86"/>
      <c r="F375" s="68" t="s">
        <v>465</v>
      </c>
      <c r="G375" s="131">
        <v>0</v>
      </c>
      <c r="H375" s="78" t="s">
        <v>1</v>
      </c>
      <c r="I375" s="121"/>
      <c r="J375" s="89"/>
      <c r="K375" s="71" t="s">
        <v>243</v>
      </c>
      <c r="L375" s="127">
        <v>28.64</v>
      </c>
      <c r="M375" s="93"/>
      <c r="N375" s="128">
        <f t="shared" si="62"/>
        <v>28.64</v>
      </c>
      <c r="O375" s="128">
        <f t="shared" si="63"/>
        <v>28.64</v>
      </c>
      <c r="P375" s="129">
        <f t="shared" si="64"/>
        <v>0</v>
      </c>
    </row>
    <row r="376" spans="2:16" outlineLevel="1" x14ac:dyDescent="0.2">
      <c r="B376" s="120"/>
      <c r="C376" s="68"/>
      <c r="D376" s="68"/>
      <c r="E376" s="86"/>
      <c r="F376" s="68" t="s">
        <v>441</v>
      </c>
      <c r="G376" s="131">
        <v>0</v>
      </c>
      <c r="H376" s="78" t="s">
        <v>1</v>
      </c>
      <c r="I376" s="121"/>
      <c r="J376" s="89"/>
      <c r="K376" s="71" t="s">
        <v>247</v>
      </c>
      <c r="L376" s="127">
        <v>12.05</v>
      </c>
      <c r="M376" s="93"/>
      <c r="N376" s="128">
        <f t="shared" si="62"/>
        <v>12.05</v>
      </c>
      <c r="O376" s="128">
        <f t="shared" si="63"/>
        <v>12.05</v>
      </c>
      <c r="P376" s="129">
        <f t="shared" si="64"/>
        <v>0</v>
      </c>
    </row>
    <row r="377" spans="2:16" outlineLevel="1" x14ac:dyDescent="0.2">
      <c r="B377" s="120"/>
      <c r="C377" s="68"/>
      <c r="D377" s="68"/>
      <c r="E377" s="77" t="s">
        <v>248</v>
      </c>
      <c r="F377" s="121"/>
      <c r="G377" s="122"/>
      <c r="H377" s="123"/>
      <c r="I377" s="89"/>
      <c r="J377" s="89"/>
      <c r="K377" s="71"/>
      <c r="L377" s="127"/>
      <c r="M377" s="93"/>
      <c r="N377" s="128">
        <f t="shared" si="62"/>
        <v>0</v>
      </c>
      <c r="O377" s="121"/>
      <c r="P377" s="124"/>
    </row>
    <row r="378" spans="2:16" outlineLevel="1" x14ac:dyDescent="0.2">
      <c r="B378" s="120"/>
      <c r="C378" s="68"/>
      <c r="D378" s="68"/>
      <c r="E378" s="69"/>
      <c r="F378" s="68" t="s">
        <v>365</v>
      </c>
      <c r="G378" s="131">
        <v>0</v>
      </c>
      <c r="H378" s="78" t="s">
        <v>1</v>
      </c>
      <c r="I378" s="121"/>
      <c r="J378" s="89"/>
      <c r="K378" s="71" t="s">
        <v>249</v>
      </c>
      <c r="L378" s="127">
        <f>259/1.19*1.4</f>
        <v>304.70588235294116</v>
      </c>
      <c r="M378" s="93"/>
      <c r="N378" s="128">
        <f t="shared" si="62"/>
        <v>304.70588235294116</v>
      </c>
      <c r="O378" s="128">
        <f t="shared" si="63"/>
        <v>304.70588235294116</v>
      </c>
      <c r="P378" s="129">
        <f t="shared" ref="P378:P389" si="65">G378*O378</f>
        <v>0</v>
      </c>
    </row>
    <row r="379" spans="2:16" outlineLevel="1" x14ac:dyDescent="0.2">
      <c r="B379" s="120"/>
      <c r="C379" s="68"/>
      <c r="D379" s="68"/>
      <c r="E379" s="69"/>
      <c r="F379" s="68" t="s">
        <v>244</v>
      </c>
      <c r="G379" s="131">
        <v>0</v>
      </c>
      <c r="H379" s="78" t="s">
        <v>1</v>
      </c>
      <c r="I379" s="121"/>
      <c r="J379" s="89"/>
      <c r="K379" s="71" t="s">
        <v>250</v>
      </c>
      <c r="L379" s="127">
        <f>133.26*1.2</f>
        <v>159.91199999999998</v>
      </c>
      <c r="M379" s="93"/>
      <c r="N379" s="128">
        <f t="shared" si="62"/>
        <v>159.91199999999998</v>
      </c>
      <c r="O379" s="128">
        <f t="shared" si="63"/>
        <v>159.91199999999998</v>
      </c>
      <c r="P379" s="129">
        <f t="shared" si="65"/>
        <v>0</v>
      </c>
    </row>
    <row r="380" spans="2:16" outlineLevel="1" x14ac:dyDescent="0.2">
      <c r="B380" s="120"/>
      <c r="C380" s="68"/>
      <c r="D380" s="68"/>
      <c r="E380" s="69"/>
      <c r="F380" s="68" t="s">
        <v>251</v>
      </c>
      <c r="G380" s="131">
        <v>0</v>
      </c>
      <c r="H380" s="78" t="s">
        <v>1</v>
      </c>
      <c r="I380" s="121"/>
      <c r="J380" s="89"/>
      <c r="K380" s="71" t="s">
        <v>252</v>
      </c>
      <c r="L380" s="127">
        <f>326/1.19*1.4</f>
        <v>383.52941176470591</v>
      </c>
      <c r="M380" s="93"/>
      <c r="N380" s="128">
        <f t="shared" si="62"/>
        <v>383.52941176470591</v>
      </c>
      <c r="O380" s="128">
        <f t="shared" si="63"/>
        <v>383.52941176470591</v>
      </c>
      <c r="P380" s="129">
        <f t="shared" si="65"/>
        <v>0</v>
      </c>
    </row>
    <row r="381" spans="2:16" outlineLevel="1" x14ac:dyDescent="0.2">
      <c r="B381" s="120"/>
      <c r="C381" s="68"/>
      <c r="D381" s="68"/>
      <c r="E381" s="69"/>
      <c r="F381" s="68" t="s">
        <v>253</v>
      </c>
      <c r="G381" s="131">
        <v>0</v>
      </c>
      <c r="H381" s="78" t="s">
        <v>1</v>
      </c>
      <c r="I381" s="121"/>
      <c r="J381" s="89"/>
      <c r="K381" s="71" t="s">
        <v>254</v>
      </c>
      <c r="L381" s="127">
        <f>350*1.2</f>
        <v>420</v>
      </c>
      <c r="M381" s="93"/>
      <c r="N381" s="128">
        <f t="shared" si="62"/>
        <v>420</v>
      </c>
      <c r="O381" s="128">
        <f t="shared" si="63"/>
        <v>420</v>
      </c>
      <c r="P381" s="129">
        <f t="shared" si="65"/>
        <v>0</v>
      </c>
    </row>
    <row r="382" spans="2:16" outlineLevel="1" x14ac:dyDescent="0.2">
      <c r="B382" s="120"/>
      <c r="C382" s="68"/>
      <c r="D382" s="68"/>
      <c r="E382" s="69"/>
      <c r="F382" s="68" t="s">
        <v>255</v>
      </c>
      <c r="G382" s="131">
        <v>0</v>
      </c>
      <c r="H382" s="78" t="s">
        <v>1</v>
      </c>
      <c r="I382" s="121"/>
      <c r="J382" s="89"/>
      <c r="K382" s="71" t="s">
        <v>256</v>
      </c>
      <c r="L382" s="127">
        <f>311/1.19*1.4</f>
        <v>365.88235294117646</v>
      </c>
      <c r="M382" s="93"/>
      <c r="N382" s="128">
        <f t="shared" si="62"/>
        <v>365.88235294117646</v>
      </c>
      <c r="O382" s="128">
        <f t="shared" si="63"/>
        <v>365.88235294117646</v>
      </c>
      <c r="P382" s="129">
        <f t="shared" si="65"/>
        <v>0</v>
      </c>
    </row>
    <row r="383" spans="2:16" outlineLevel="1" x14ac:dyDescent="0.2">
      <c r="B383" s="120"/>
      <c r="C383" s="68"/>
      <c r="D383" s="68"/>
      <c r="E383" s="69"/>
      <c r="F383" s="68" t="s">
        <v>257</v>
      </c>
      <c r="G383" s="131">
        <v>0</v>
      </c>
      <c r="H383" s="78" t="s">
        <v>1</v>
      </c>
      <c r="I383" s="121"/>
      <c r="J383" s="89"/>
      <c r="K383" s="71" t="s">
        <v>258</v>
      </c>
      <c r="L383" s="127">
        <v>217</v>
      </c>
      <c r="M383" s="93"/>
      <c r="N383" s="128">
        <f t="shared" si="62"/>
        <v>217</v>
      </c>
      <c r="O383" s="128">
        <f t="shared" si="63"/>
        <v>217</v>
      </c>
      <c r="P383" s="129">
        <f t="shared" si="65"/>
        <v>0</v>
      </c>
    </row>
    <row r="384" spans="2:16" outlineLevel="1" x14ac:dyDescent="0.2">
      <c r="B384" s="120"/>
      <c r="C384" s="68"/>
      <c r="D384" s="68"/>
      <c r="E384" s="69"/>
      <c r="F384" s="68" t="s">
        <v>259</v>
      </c>
      <c r="G384" s="131">
        <v>0</v>
      </c>
      <c r="H384" s="78" t="s">
        <v>1</v>
      </c>
      <c r="I384" s="121"/>
      <c r="J384" s="89"/>
      <c r="K384" s="71" t="s">
        <v>250</v>
      </c>
      <c r="L384" s="127">
        <f>133.26*1.2</f>
        <v>159.91199999999998</v>
      </c>
      <c r="M384" s="93"/>
      <c r="N384" s="128">
        <f t="shared" si="62"/>
        <v>159.91199999999998</v>
      </c>
      <c r="O384" s="128">
        <f t="shared" si="63"/>
        <v>159.91199999999998</v>
      </c>
      <c r="P384" s="129">
        <f t="shared" si="65"/>
        <v>0</v>
      </c>
    </row>
    <row r="385" spans="2:16" outlineLevel="1" x14ac:dyDescent="0.2">
      <c r="B385" s="120"/>
      <c r="C385" s="74"/>
      <c r="D385" s="68"/>
      <c r="E385" s="69"/>
      <c r="F385" s="68" t="s">
        <v>267</v>
      </c>
      <c r="G385" s="131">
        <v>0</v>
      </c>
      <c r="H385" s="78" t="s">
        <v>1</v>
      </c>
      <c r="I385" s="121"/>
      <c r="J385" s="89"/>
      <c r="K385" s="71" t="s">
        <v>268</v>
      </c>
      <c r="L385" s="127">
        <f>52.78/1.19*1.3</f>
        <v>57.658823529411777</v>
      </c>
      <c r="M385" s="93"/>
      <c r="N385" s="128">
        <f t="shared" si="62"/>
        <v>57.658823529411777</v>
      </c>
      <c r="O385" s="128">
        <f t="shared" si="63"/>
        <v>57.658823529411777</v>
      </c>
      <c r="P385" s="129">
        <f t="shared" si="65"/>
        <v>0</v>
      </c>
    </row>
    <row r="386" spans="2:16" outlineLevel="1" x14ac:dyDescent="0.2">
      <c r="B386" s="120"/>
      <c r="C386" s="74"/>
      <c r="D386" s="68"/>
      <c r="E386" s="69"/>
      <c r="F386" s="68" t="s">
        <v>269</v>
      </c>
      <c r="G386" s="131">
        <v>0</v>
      </c>
      <c r="H386" s="78" t="s">
        <v>1</v>
      </c>
      <c r="I386" s="121"/>
      <c r="J386" s="89"/>
      <c r="K386" s="71" t="s">
        <v>270</v>
      </c>
      <c r="L386" s="127">
        <f>98.18/1.19*1.2</f>
        <v>99.00504201680674</v>
      </c>
      <c r="M386" s="93"/>
      <c r="N386" s="128">
        <f t="shared" si="62"/>
        <v>99.00504201680674</v>
      </c>
      <c r="O386" s="128">
        <f t="shared" si="63"/>
        <v>99.00504201680674</v>
      </c>
      <c r="P386" s="129">
        <f t="shared" si="65"/>
        <v>0</v>
      </c>
    </row>
    <row r="387" spans="2:16" outlineLevel="1" x14ac:dyDescent="0.2">
      <c r="B387" s="120"/>
      <c r="C387" s="74"/>
      <c r="D387" s="68"/>
      <c r="E387" s="69"/>
      <c r="F387" s="68" t="s">
        <v>271</v>
      </c>
      <c r="G387" s="131">
        <v>0</v>
      </c>
      <c r="H387" s="78" t="s">
        <v>1</v>
      </c>
      <c r="I387" s="121"/>
      <c r="J387" s="89"/>
      <c r="K387" s="71" t="s">
        <v>272</v>
      </c>
      <c r="L387" s="127">
        <f>49.59/1.19*1.2</f>
        <v>50.006722689075637</v>
      </c>
      <c r="M387" s="93"/>
      <c r="N387" s="128">
        <f t="shared" si="62"/>
        <v>50.006722689075637</v>
      </c>
      <c r="O387" s="128">
        <f t="shared" si="63"/>
        <v>50.006722689075637</v>
      </c>
      <c r="P387" s="129">
        <f t="shared" si="65"/>
        <v>0</v>
      </c>
    </row>
    <row r="388" spans="2:16" outlineLevel="1" x14ac:dyDescent="0.2">
      <c r="B388" s="120"/>
      <c r="C388" s="74"/>
      <c r="D388" s="68"/>
      <c r="E388" s="69"/>
      <c r="F388" s="68" t="s">
        <v>273</v>
      </c>
      <c r="G388" s="131">
        <v>0</v>
      </c>
      <c r="H388" s="78" t="s">
        <v>1</v>
      </c>
      <c r="I388" s="121"/>
      <c r="J388" s="89"/>
      <c r="K388" s="71" t="s">
        <v>274</v>
      </c>
      <c r="L388" s="127">
        <f>49.59/1.19*1.1</f>
        <v>45.839495798319334</v>
      </c>
      <c r="M388" s="93"/>
      <c r="N388" s="128">
        <f t="shared" si="62"/>
        <v>45.839495798319334</v>
      </c>
      <c r="O388" s="128">
        <f t="shared" si="63"/>
        <v>45.839495798319334</v>
      </c>
      <c r="P388" s="129">
        <f t="shared" si="65"/>
        <v>0</v>
      </c>
    </row>
    <row r="389" spans="2:16" outlineLevel="1" x14ac:dyDescent="0.2">
      <c r="B389" s="120"/>
      <c r="C389" s="68"/>
      <c r="D389" s="68"/>
      <c r="E389" s="69"/>
      <c r="F389" s="68" t="s">
        <v>295</v>
      </c>
      <c r="G389" s="131">
        <v>0</v>
      </c>
      <c r="H389" s="78" t="s">
        <v>8</v>
      </c>
      <c r="I389" s="121"/>
      <c r="J389" s="89"/>
      <c r="K389" s="71"/>
      <c r="L389" s="127">
        <v>25</v>
      </c>
      <c r="M389" s="93"/>
      <c r="N389" s="128">
        <f t="shared" si="62"/>
        <v>25</v>
      </c>
      <c r="O389" s="128">
        <f t="shared" si="63"/>
        <v>25</v>
      </c>
      <c r="P389" s="129">
        <f t="shared" si="65"/>
        <v>0</v>
      </c>
    </row>
    <row r="390" spans="2:16" outlineLevel="1" x14ac:dyDescent="0.2">
      <c r="B390" s="120"/>
      <c r="C390" s="68"/>
      <c r="D390" s="68"/>
      <c r="E390" s="77" t="s">
        <v>530</v>
      </c>
      <c r="F390" s="68"/>
      <c r="G390" s="122"/>
      <c r="H390" s="78"/>
      <c r="I390" s="121"/>
      <c r="J390" s="89"/>
      <c r="K390" s="71"/>
      <c r="L390" s="127"/>
      <c r="M390" s="93"/>
      <c r="N390" s="128">
        <f t="shared" si="62"/>
        <v>0</v>
      </c>
      <c r="O390" s="128"/>
      <c r="P390" s="129"/>
    </row>
    <row r="391" spans="2:16" outlineLevel="1" x14ac:dyDescent="0.2">
      <c r="B391" s="120"/>
      <c r="C391" s="68"/>
      <c r="D391" s="68"/>
      <c r="E391" s="69"/>
      <c r="F391" s="68" t="s">
        <v>512</v>
      </c>
      <c r="G391" s="131">
        <v>0</v>
      </c>
      <c r="H391" s="123" t="s">
        <v>4</v>
      </c>
      <c r="I391" s="121"/>
      <c r="J391" s="89"/>
      <c r="K391" s="71"/>
      <c r="L391" s="80">
        <v>25</v>
      </c>
      <c r="M391" s="93"/>
      <c r="N391" s="128">
        <f t="shared" si="62"/>
        <v>25</v>
      </c>
      <c r="O391" s="128">
        <f t="shared" ref="O391:O398" si="66">N391</f>
        <v>25</v>
      </c>
      <c r="P391" s="129">
        <f t="shared" ref="P391:P398" si="67">G391*O391</f>
        <v>0</v>
      </c>
    </row>
    <row r="392" spans="2:16" outlineLevel="1" x14ac:dyDescent="0.2">
      <c r="B392" s="120"/>
      <c r="C392" s="68"/>
      <c r="D392" s="68"/>
      <c r="E392" s="69"/>
      <c r="F392" s="68" t="s">
        <v>486</v>
      </c>
      <c r="G392" s="131">
        <v>0</v>
      </c>
      <c r="H392" s="123" t="s">
        <v>4</v>
      </c>
      <c r="I392" s="121"/>
      <c r="J392" s="89"/>
      <c r="K392" s="71" t="s">
        <v>485</v>
      </c>
      <c r="L392" s="127">
        <v>31.9</v>
      </c>
      <c r="M392" s="93"/>
      <c r="N392" s="128">
        <f t="shared" si="62"/>
        <v>31.9</v>
      </c>
      <c r="O392" s="128">
        <f t="shared" si="66"/>
        <v>31.9</v>
      </c>
      <c r="P392" s="129">
        <f t="shared" si="67"/>
        <v>0</v>
      </c>
    </row>
    <row r="393" spans="2:16" outlineLevel="1" x14ac:dyDescent="0.2">
      <c r="B393" s="120"/>
      <c r="C393" s="68"/>
      <c r="D393" s="68"/>
      <c r="E393" s="69"/>
      <c r="F393" s="68" t="s">
        <v>81</v>
      </c>
      <c r="G393" s="131">
        <v>0</v>
      </c>
      <c r="H393" s="123" t="s">
        <v>4</v>
      </c>
      <c r="I393" s="121"/>
      <c r="J393" s="89"/>
      <c r="K393" s="71" t="s">
        <v>152</v>
      </c>
      <c r="L393" s="80">
        <v>16.36</v>
      </c>
      <c r="M393" s="93"/>
      <c r="N393" s="128">
        <f t="shared" si="62"/>
        <v>16.36</v>
      </c>
      <c r="O393" s="128">
        <f t="shared" si="66"/>
        <v>16.36</v>
      </c>
      <c r="P393" s="129">
        <f t="shared" si="67"/>
        <v>0</v>
      </c>
    </row>
    <row r="394" spans="2:16" outlineLevel="1" x14ac:dyDescent="0.2">
      <c r="B394" s="120"/>
      <c r="C394" s="68"/>
      <c r="D394" s="68"/>
      <c r="E394" s="69"/>
      <c r="F394" s="68" t="s">
        <v>531</v>
      </c>
      <c r="G394" s="131">
        <v>0</v>
      </c>
      <c r="H394" s="123" t="s">
        <v>4</v>
      </c>
      <c r="I394" s="121"/>
      <c r="J394" s="89"/>
      <c r="K394" s="71"/>
      <c r="L394" s="127">
        <v>85</v>
      </c>
      <c r="M394" s="93"/>
      <c r="N394" s="128">
        <f t="shared" si="62"/>
        <v>85</v>
      </c>
      <c r="O394" s="128">
        <f t="shared" si="66"/>
        <v>85</v>
      </c>
      <c r="P394" s="129">
        <f t="shared" si="67"/>
        <v>0</v>
      </c>
    </row>
    <row r="395" spans="2:16" outlineLevel="1" x14ac:dyDescent="0.2">
      <c r="B395" s="120"/>
      <c r="C395" s="68"/>
      <c r="D395" s="68"/>
      <c r="E395" s="69"/>
      <c r="F395" s="68" t="s">
        <v>532</v>
      </c>
      <c r="G395" s="131">
        <v>0</v>
      </c>
      <c r="H395" s="78" t="s">
        <v>75</v>
      </c>
      <c r="I395" s="121"/>
      <c r="J395" s="89"/>
      <c r="K395" s="71" t="s">
        <v>533</v>
      </c>
      <c r="L395" s="127">
        <f>7.66/1.19*1.25</f>
        <v>8.0462184873949578</v>
      </c>
      <c r="M395" s="93"/>
      <c r="N395" s="128">
        <f t="shared" si="62"/>
        <v>8.0462184873949578</v>
      </c>
      <c r="O395" s="128">
        <f t="shared" si="66"/>
        <v>8.0462184873949578</v>
      </c>
      <c r="P395" s="129">
        <f t="shared" si="67"/>
        <v>0</v>
      </c>
    </row>
    <row r="396" spans="2:16" outlineLevel="1" x14ac:dyDescent="0.2">
      <c r="B396" s="120"/>
      <c r="C396" s="68"/>
      <c r="D396" s="68"/>
      <c r="E396" s="69"/>
      <c r="F396" s="68" t="s">
        <v>534</v>
      </c>
      <c r="G396" s="131">
        <v>0</v>
      </c>
      <c r="H396" s="78" t="s">
        <v>3</v>
      </c>
      <c r="I396" s="121"/>
      <c r="J396" s="89"/>
      <c r="K396" s="71"/>
      <c r="L396" s="127">
        <f>2.5*1.25</f>
        <v>3.125</v>
      </c>
      <c r="M396" s="93"/>
      <c r="N396" s="128">
        <f t="shared" si="62"/>
        <v>3.125</v>
      </c>
      <c r="O396" s="128">
        <f t="shared" si="66"/>
        <v>3.125</v>
      </c>
      <c r="P396" s="129">
        <f t="shared" si="67"/>
        <v>0</v>
      </c>
    </row>
    <row r="397" spans="2:16" outlineLevel="1" x14ac:dyDescent="0.2">
      <c r="B397" s="120"/>
      <c r="C397" s="68"/>
      <c r="D397" s="68"/>
      <c r="E397" s="69"/>
      <c r="F397" s="68" t="s">
        <v>154</v>
      </c>
      <c r="G397" s="131">
        <v>0</v>
      </c>
      <c r="H397" s="78" t="s">
        <v>4</v>
      </c>
      <c r="I397" s="121"/>
      <c r="J397" s="89"/>
      <c r="K397" s="71" t="s">
        <v>155</v>
      </c>
      <c r="L397" s="80">
        <v>3.28</v>
      </c>
      <c r="M397" s="93"/>
      <c r="N397" s="128">
        <f t="shared" si="62"/>
        <v>3.28</v>
      </c>
      <c r="O397" s="128">
        <f t="shared" si="66"/>
        <v>3.28</v>
      </c>
      <c r="P397" s="129">
        <f t="shared" si="67"/>
        <v>0</v>
      </c>
    </row>
    <row r="398" spans="2:16" outlineLevel="1" x14ac:dyDescent="0.2">
      <c r="B398" s="120"/>
      <c r="C398" s="68"/>
      <c r="D398" s="68"/>
      <c r="E398" s="69"/>
      <c r="F398" s="68" t="s">
        <v>444</v>
      </c>
      <c r="G398" s="131">
        <v>0</v>
      </c>
      <c r="H398" s="78" t="s">
        <v>4</v>
      </c>
      <c r="I398" s="121"/>
      <c r="J398" s="89"/>
      <c r="K398" s="71" t="s">
        <v>156</v>
      </c>
      <c r="L398" s="80">
        <v>7.38</v>
      </c>
      <c r="M398" s="93"/>
      <c r="N398" s="128">
        <f t="shared" si="62"/>
        <v>7.38</v>
      </c>
      <c r="O398" s="128">
        <f t="shared" si="66"/>
        <v>7.38</v>
      </c>
      <c r="P398" s="129">
        <f t="shared" si="67"/>
        <v>0</v>
      </c>
    </row>
    <row r="399" spans="2:16" outlineLevel="1" x14ac:dyDescent="0.2">
      <c r="B399" s="120"/>
      <c r="C399" s="68"/>
      <c r="D399" s="68"/>
      <c r="E399" s="69"/>
      <c r="F399" s="95" t="s">
        <v>535</v>
      </c>
      <c r="G399" s="122"/>
      <c r="H399" s="78"/>
      <c r="I399" s="121"/>
      <c r="J399" s="89"/>
      <c r="K399" s="71"/>
      <c r="L399" s="80"/>
      <c r="M399" s="93"/>
      <c r="N399" s="128">
        <f t="shared" si="62"/>
        <v>0</v>
      </c>
      <c r="O399" s="128"/>
      <c r="P399" s="129"/>
    </row>
    <row r="400" spans="2:16" outlineLevel="1" x14ac:dyDescent="0.2">
      <c r="B400" s="120"/>
      <c r="C400" s="68"/>
      <c r="D400" s="68"/>
      <c r="E400" s="77" t="s">
        <v>529</v>
      </c>
      <c r="F400" s="68"/>
      <c r="G400" s="122"/>
      <c r="H400" s="123"/>
      <c r="I400" s="89"/>
      <c r="J400" s="89"/>
      <c r="K400" s="71"/>
      <c r="L400" s="127"/>
      <c r="M400" s="93"/>
      <c r="N400" s="128">
        <f t="shared" si="62"/>
        <v>0</v>
      </c>
      <c r="O400" s="121"/>
      <c r="P400" s="124"/>
    </row>
    <row r="401" spans="1:16" outlineLevel="1" x14ac:dyDescent="0.2">
      <c r="B401" s="120"/>
      <c r="C401" s="68"/>
      <c r="D401" s="68"/>
      <c r="E401" s="69"/>
      <c r="F401" s="68" t="s">
        <v>486</v>
      </c>
      <c r="G401" s="131">
        <v>0</v>
      </c>
      <c r="H401" s="123" t="s">
        <v>4</v>
      </c>
      <c r="I401" s="121"/>
      <c r="J401" s="89"/>
      <c r="K401" s="71" t="s">
        <v>485</v>
      </c>
      <c r="L401" s="127">
        <v>31.9</v>
      </c>
      <c r="M401" s="93"/>
      <c r="N401" s="128">
        <f t="shared" si="62"/>
        <v>31.9</v>
      </c>
      <c r="O401" s="128">
        <f t="shared" ref="O401:O409" si="68">N401</f>
        <v>31.9</v>
      </c>
      <c r="P401" s="129">
        <f t="shared" ref="P401:P410" si="69">G401*O401</f>
        <v>0</v>
      </c>
    </row>
    <row r="402" spans="1:16" outlineLevel="1" x14ac:dyDescent="0.2">
      <c r="B402" s="120"/>
      <c r="C402" s="68"/>
      <c r="D402" s="68"/>
      <c r="E402" s="69"/>
      <c r="F402" s="68" t="s">
        <v>476</v>
      </c>
      <c r="G402" s="131">
        <v>0</v>
      </c>
      <c r="H402" s="123" t="s">
        <v>75</v>
      </c>
      <c r="I402" s="121"/>
      <c r="J402" s="89"/>
      <c r="K402" s="71" t="s">
        <v>345</v>
      </c>
      <c r="L402" s="127">
        <v>71.599999999999994</v>
      </c>
      <c r="M402" s="93"/>
      <c r="N402" s="128">
        <f t="shared" si="62"/>
        <v>71.599999999999994</v>
      </c>
      <c r="O402" s="128">
        <f t="shared" si="68"/>
        <v>71.599999999999994</v>
      </c>
      <c r="P402" s="129">
        <f t="shared" si="69"/>
        <v>0</v>
      </c>
    </row>
    <row r="403" spans="1:16" outlineLevel="1" x14ac:dyDescent="0.2">
      <c r="B403" s="120"/>
      <c r="C403" s="68"/>
      <c r="D403" s="68"/>
      <c r="E403" s="69"/>
      <c r="F403" s="68" t="s">
        <v>346</v>
      </c>
      <c r="G403" s="131">
        <v>0</v>
      </c>
      <c r="H403" s="123" t="s">
        <v>75</v>
      </c>
      <c r="I403" s="121"/>
      <c r="J403" s="89"/>
      <c r="K403" s="71"/>
      <c r="L403" s="127">
        <v>250</v>
      </c>
      <c r="M403" s="93"/>
      <c r="N403" s="128">
        <f t="shared" si="62"/>
        <v>250</v>
      </c>
      <c r="O403" s="128">
        <f t="shared" si="68"/>
        <v>250</v>
      </c>
      <c r="P403" s="129">
        <f t="shared" si="69"/>
        <v>0</v>
      </c>
    </row>
    <row r="404" spans="1:16" outlineLevel="1" x14ac:dyDescent="0.2">
      <c r="B404" s="120"/>
      <c r="C404" s="68"/>
      <c r="D404" s="68"/>
      <c r="E404" s="77"/>
      <c r="F404" s="68" t="s">
        <v>486</v>
      </c>
      <c r="G404" s="131">
        <v>0</v>
      </c>
      <c r="H404" s="78" t="s">
        <v>4</v>
      </c>
      <c r="I404" s="121"/>
      <c r="J404" s="89"/>
      <c r="K404" s="71" t="s">
        <v>485</v>
      </c>
      <c r="L404" s="127">
        <v>31.9</v>
      </c>
      <c r="M404" s="93"/>
      <c r="N404" s="128">
        <f t="shared" si="62"/>
        <v>31.9</v>
      </c>
      <c r="O404" s="128">
        <f t="shared" si="68"/>
        <v>31.9</v>
      </c>
      <c r="P404" s="129">
        <f t="shared" si="69"/>
        <v>0</v>
      </c>
    </row>
    <row r="405" spans="1:16" outlineLevel="1" x14ac:dyDescent="0.2">
      <c r="B405" s="120"/>
      <c r="C405" s="68"/>
      <c r="D405" s="68"/>
      <c r="E405" s="77"/>
      <c r="F405" s="68" t="s">
        <v>81</v>
      </c>
      <c r="G405" s="131">
        <v>0</v>
      </c>
      <c r="H405" s="78" t="s">
        <v>4</v>
      </c>
      <c r="I405" s="121"/>
      <c r="J405" s="89"/>
      <c r="K405" s="71" t="s">
        <v>152</v>
      </c>
      <c r="L405" s="80">
        <v>16.36</v>
      </c>
      <c r="M405" s="93"/>
      <c r="N405" s="128">
        <f t="shared" si="62"/>
        <v>16.36</v>
      </c>
      <c r="O405" s="128">
        <f t="shared" si="68"/>
        <v>16.36</v>
      </c>
      <c r="P405" s="129">
        <f t="shared" si="69"/>
        <v>0</v>
      </c>
    </row>
    <row r="406" spans="1:16" outlineLevel="1" x14ac:dyDescent="0.2">
      <c r="B406" s="120"/>
      <c r="C406" s="68"/>
      <c r="D406" s="68"/>
      <c r="E406" s="77"/>
      <c r="F406" s="68" t="s">
        <v>154</v>
      </c>
      <c r="G406" s="122">
        <f>G404-G405</f>
        <v>0</v>
      </c>
      <c r="H406" s="78" t="s">
        <v>4</v>
      </c>
      <c r="I406" s="121"/>
      <c r="J406" s="89"/>
      <c r="K406" s="71" t="s">
        <v>155</v>
      </c>
      <c r="L406" s="80">
        <v>3.28</v>
      </c>
      <c r="M406" s="93"/>
      <c r="N406" s="128">
        <f t="shared" si="62"/>
        <v>3.28</v>
      </c>
      <c r="O406" s="128">
        <f t="shared" si="68"/>
        <v>3.28</v>
      </c>
      <c r="P406" s="129">
        <f t="shared" si="69"/>
        <v>0</v>
      </c>
    </row>
    <row r="407" spans="1:16" outlineLevel="1" x14ac:dyDescent="0.2">
      <c r="B407" s="120"/>
      <c r="C407" s="68"/>
      <c r="D407" s="68"/>
      <c r="E407" s="77"/>
      <c r="F407" s="68" t="s">
        <v>444</v>
      </c>
      <c r="G407" s="122">
        <f>G406</f>
        <v>0</v>
      </c>
      <c r="H407" s="78" t="s">
        <v>4</v>
      </c>
      <c r="I407" s="121"/>
      <c r="J407" s="89"/>
      <c r="K407" s="71" t="s">
        <v>156</v>
      </c>
      <c r="L407" s="80">
        <v>7.38</v>
      </c>
      <c r="M407" s="93"/>
      <c r="N407" s="128">
        <f t="shared" si="62"/>
        <v>7.38</v>
      </c>
      <c r="O407" s="128">
        <f t="shared" si="68"/>
        <v>7.38</v>
      </c>
      <c r="P407" s="129">
        <f t="shared" si="69"/>
        <v>0</v>
      </c>
    </row>
    <row r="408" spans="1:16" outlineLevel="1" x14ac:dyDescent="0.2">
      <c r="B408" s="120"/>
      <c r="C408" s="68"/>
      <c r="D408" s="68"/>
      <c r="E408" s="77"/>
      <c r="F408" s="68" t="s">
        <v>419</v>
      </c>
      <c r="G408" s="131">
        <v>0</v>
      </c>
      <c r="H408" s="78" t="s">
        <v>75</v>
      </c>
      <c r="I408" s="121"/>
      <c r="J408" s="89"/>
      <c r="K408" s="121"/>
      <c r="L408" s="127">
        <f>98.33/1.19/6*1.3</f>
        <v>17.903221288515407</v>
      </c>
      <c r="M408" s="93"/>
      <c r="N408" s="128">
        <f t="shared" si="62"/>
        <v>17.903221288515407</v>
      </c>
      <c r="O408" s="128">
        <f t="shared" si="68"/>
        <v>17.903221288515407</v>
      </c>
      <c r="P408" s="129">
        <f t="shared" si="69"/>
        <v>0</v>
      </c>
    </row>
    <row r="409" spans="1:16" outlineLevel="1" x14ac:dyDescent="0.2">
      <c r="B409" s="120"/>
      <c r="C409" s="68"/>
      <c r="D409" s="68"/>
      <c r="E409" s="77"/>
      <c r="F409" s="68" t="s">
        <v>347</v>
      </c>
      <c r="G409" s="131">
        <v>0</v>
      </c>
      <c r="H409" s="123" t="s">
        <v>1</v>
      </c>
      <c r="I409" s="121"/>
      <c r="J409" s="89"/>
      <c r="K409" s="71"/>
      <c r="L409" s="127">
        <f>18.45/1.19*1.5</f>
        <v>23.256302521008404</v>
      </c>
      <c r="M409" s="93"/>
      <c r="N409" s="128">
        <f t="shared" si="62"/>
        <v>23.256302521008404</v>
      </c>
      <c r="O409" s="128">
        <f t="shared" si="68"/>
        <v>23.256302521008404</v>
      </c>
      <c r="P409" s="129">
        <f t="shared" si="69"/>
        <v>0</v>
      </c>
    </row>
    <row r="410" spans="1:16" outlineLevel="1" x14ac:dyDescent="0.2">
      <c r="B410" s="120"/>
      <c r="C410" s="68"/>
      <c r="D410" s="68"/>
      <c r="E410" s="69"/>
      <c r="F410" s="68" t="s">
        <v>295</v>
      </c>
      <c r="G410" s="122">
        <f>G402*0.2*0.25*2+G403*100/1000</f>
        <v>0</v>
      </c>
      <c r="H410" s="123" t="s">
        <v>8</v>
      </c>
      <c r="I410" s="121"/>
      <c r="J410" s="89"/>
      <c r="K410" s="71"/>
      <c r="L410" s="127">
        <v>25</v>
      </c>
      <c r="M410" s="93"/>
      <c r="N410" s="128">
        <f t="shared" si="62"/>
        <v>25</v>
      </c>
      <c r="O410" s="128">
        <f>N410</f>
        <v>25</v>
      </c>
      <c r="P410" s="129">
        <f t="shared" si="69"/>
        <v>0</v>
      </c>
    </row>
    <row r="411" spans="1:16" s="153" customFormat="1" ht="15" x14ac:dyDescent="0.35">
      <c r="A411" s="172"/>
      <c r="B411" s="145"/>
      <c r="C411" s="74"/>
      <c r="D411" s="154" t="s">
        <v>107</v>
      </c>
      <c r="E411" s="108"/>
      <c r="F411" s="155"/>
      <c r="G411" s="156"/>
      <c r="H411" s="157"/>
      <c r="I411" s="176"/>
      <c r="J411" s="176"/>
      <c r="K411" s="159"/>
      <c r="L411" s="171"/>
      <c r="M411" s="161">
        <v>1</v>
      </c>
      <c r="N411" s="158"/>
      <c r="O411" s="158"/>
      <c r="P411" s="125">
        <f>SUM(P412:P460)</f>
        <v>0</v>
      </c>
    </row>
    <row r="412" spans="1:16" outlineLevel="1" x14ac:dyDescent="0.2">
      <c r="B412" s="120"/>
      <c r="C412" s="68"/>
      <c r="D412" s="68"/>
      <c r="E412" s="77" t="s">
        <v>538</v>
      </c>
      <c r="F412" s="70"/>
      <c r="G412" s="122"/>
      <c r="H412" s="123"/>
      <c r="I412" s="89"/>
      <c r="J412" s="89"/>
      <c r="K412" s="71"/>
      <c r="L412" s="127"/>
      <c r="M412" s="93"/>
      <c r="N412" s="121"/>
      <c r="O412" s="121"/>
      <c r="P412" s="124"/>
    </row>
    <row r="413" spans="1:16" outlineLevel="1" x14ac:dyDescent="0.2">
      <c r="B413" s="120"/>
      <c r="C413" s="68"/>
      <c r="D413" s="68"/>
      <c r="E413" s="69"/>
      <c r="F413" s="68" t="s">
        <v>353</v>
      </c>
      <c r="G413" s="131">
        <v>0</v>
      </c>
      <c r="H413" s="78" t="s">
        <v>75</v>
      </c>
      <c r="I413" s="121"/>
      <c r="J413" s="89"/>
      <c r="K413" s="71"/>
      <c r="L413" s="127">
        <v>15</v>
      </c>
      <c r="M413" s="93"/>
      <c r="N413" s="128">
        <f>L413*M$411</f>
        <v>15</v>
      </c>
      <c r="O413" s="128">
        <f t="shared" ref="O413:O425" si="70">N413</f>
        <v>15</v>
      </c>
      <c r="P413" s="129">
        <f t="shared" ref="P413:P425" si="71">G413*O413</f>
        <v>0</v>
      </c>
    </row>
    <row r="414" spans="1:16" outlineLevel="1" x14ac:dyDescent="0.2">
      <c r="B414" s="120"/>
      <c r="C414" s="68"/>
      <c r="D414" s="68"/>
      <c r="E414" s="69"/>
      <c r="F414" s="68" t="s">
        <v>260</v>
      </c>
      <c r="G414" s="131">
        <v>0</v>
      </c>
      <c r="H414" s="78" t="s">
        <v>1</v>
      </c>
      <c r="I414" s="121"/>
      <c r="J414" s="89"/>
      <c r="K414" s="71"/>
      <c r="L414" s="127">
        <v>30</v>
      </c>
      <c r="M414" s="93"/>
      <c r="N414" s="128">
        <f t="shared" ref="N414:N460" si="72">L414*M$411</f>
        <v>30</v>
      </c>
      <c r="O414" s="128">
        <f t="shared" si="70"/>
        <v>30</v>
      </c>
      <c r="P414" s="129">
        <f t="shared" si="71"/>
        <v>0</v>
      </c>
    </row>
    <row r="415" spans="1:16" outlineLevel="1" x14ac:dyDescent="0.2">
      <c r="B415" s="120"/>
      <c r="C415" s="68"/>
      <c r="D415" s="68"/>
      <c r="E415" s="69"/>
      <c r="F415" s="68" t="s">
        <v>366</v>
      </c>
      <c r="G415" s="131">
        <v>0</v>
      </c>
      <c r="H415" s="78" t="s">
        <v>1</v>
      </c>
      <c r="I415" s="121"/>
      <c r="J415" s="89"/>
      <c r="K415" s="71" t="s">
        <v>367</v>
      </c>
      <c r="L415" s="127">
        <f>135*1.2</f>
        <v>162</v>
      </c>
      <c r="M415" s="93"/>
      <c r="N415" s="128">
        <f t="shared" si="72"/>
        <v>162</v>
      </c>
      <c r="O415" s="128">
        <f t="shared" si="70"/>
        <v>162</v>
      </c>
      <c r="P415" s="129">
        <f t="shared" si="71"/>
        <v>0</v>
      </c>
    </row>
    <row r="416" spans="1:16" outlineLevel="1" x14ac:dyDescent="0.2">
      <c r="B416" s="120"/>
      <c r="C416" s="68"/>
      <c r="D416" s="68"/>
      <c r="E416" s="69"/>
      <c r="F416" s="68" t="s">
        <v>368</v>
      </c>
      <c r="G416" s="131">
        <v>0</v>
      </c>
      <c r="H416" s="78" t="s">
        <v>1</v>
      </c>
      <c r="I416" s="121"/>
      <c r="J416" s="89"/>
      <c r="K416" s="71" t="s">
        <v>369</v>
      </c>
      <c r="L416" s="127">
        <f>195*1.2</f>
        <v>234</v>
      </c>
      <c r="M416" s="93"/>
      <c r="N416" s="128">
        <f t="shared" si="72"/>
        <v>234</v>
      </c>
      <c r="O416" s="128">
        <f t="shared" si="70"/>
        <v>234</v>
      </c>
      <c r="P416" s="129">
        <f t="shared" si="71"/>
        <v>0</v>
      </c>
    </row>
    <row r="417" spans="2:16" outlineLevel="1" x14ac:dyDescent="0.2">
      <c r="B417" s="120"/>
      <c r="C417" s="68"/>
      <c r="D417" s="68"/>
      <c r="E417" s="69"/>
      <c r="F417" s="68" t="s">
        <v>370</v>
      </c>
      <c r="G417" s="131">
        <v>0</v>
      </c>
      <c r="H417" s="78" t="s">
        <v>1</v>
      </c>
      <c r="I417" s="121"/>
      <c r="J417" s="89"/>
      <c r="K417" s="71" t="s">
        <v>371</v>
      </c>
      <c r="L417" s="127">
        <f>100*1.2</f>
        <v>120</v>
      </c>
      <c r="M417" s="93"/>
      <c r="N417" s="128">
        <f t="shared" si="72"/>
        <v>120</v>
      </c>
      <c r="O417" s="128">
        <f t="shared" si="70"/>
        <v>120</v>
      </c>
      <c r="P417" s="129">
        <f t="shared" si="71"/>
        <v>0</v>
      </c>
    </row>
    <row r="418" spans="2:16" outlineLevel="1" x14ac:dyDescent="0.2">
      <c r="B418" s="120"/>
      <c r="C418" s="68"/>
      <c r="D418" s="68"/>
      <c r="E418" s="69"/>
      <c r="F418" s="68" t="s">
        <v>261</v>
      </c>
      <c r="G418" s="210">
        <v>0</v>
      </c>
      <c r="H418" s="78" t="s">
        <v>1</v>
      </c>
      <c r="I418" s="121"/>
      <c r="J418" s="89"/>
      <c r="K418" s="71" t="s">
        <v>372</v>
      </c>
      <c r="L418" s="127">
        <f>41.9*1.2</f>
        <v>50.279999999999994</v>
      </c>
      <c r="M418" s="93"/>
      <c r="N418" s="128">
        <f t="shared" si="72"/>
        <v>50.279999999999994</v>
      </c>
      <c r="O418" s="128">
        <f t="shared" si="70"/>
        <v>50.279999999999994</v>
      </c>
      <c r="P418" s="129">
        <f t="shared" si="71"/>
        <v>0</v>
      </c>
    </row>
    <row r="419" spans="2:16" outlineLevel="1" x14ac:dyDescent="0.2">
      <c r="B419" s="120"/>
      <c r="C419" s="68"/>
      <c r="D419" s="68"/>
      <c r="E419" s="69"/>
      <c r="F419" s="68" t="s">
        <v>373</v>
      </c>
      <c r="G419" s="217">
        <f>G415+G416+G417</f>
        <v>0</v>
      </c>
      <c r="H419" s="78" t="s">
        <v>1</v>
      </c>
      <c r="I419" s="121"/>
      <c r="J419" s="89"/>
      <c r="K419" s="71" t="s">
        <v>374</v>
      </c>
      <c r="L419" s="127">
        <f>75*1.2</f>
        <v>90</v>
      </c>
      <c r="M419" s="93"/>
      <c r="N419" s="128">
        <f t="shared" si="72"/>
        <v>90</v>
      </c>
      <c r="O419" s="128">
        <f t="shared" si="70"/>
        <v>90</v>
      </c>
      <c r="P419" s="129">
        <f t="shared" si="71"/>
        <v>0</v>
      </c>
    </row>
    <row r="420" spans="2:16" outlineLevel="1" x14ac:dyDescent="0.2">
      <c r="B420" s="120"/>
      <c r="C420" s="68"/>
      <c r="D420" s="68"/>
      <c r="E420" s="69"/>
      <c r="F420" s="68" t="s">
        <v>357</v>
      </c>
      <c r="G420" s="131">
        <v>0</v>
      </c>
      <c r="H420" s="78" t="s">
        <v>75</v>
      </c>
      <c r="I420" s="121"/>
      <c r="J420" s="89"/>
      <c r="K420" s="71"/>
      <c r="L420" s="127">
        <v>15</v>
      </c>
      <c r="M420" s="93"/>
      <c r="N420" s="128">
        <f t="shared" si="72"/>
        <v>15</v>
      </c>
      <c r="O420" s="128">
        <f t="shared" si="70"/>
        <v>15</v>
      </c>
      <c r="P420" s="129">
        <f t="shared" si="71"/>
        <v>0</v>
      </c>
    </row>
    <row r="421" spans="2:16" outlineLevel="1" x14ac:dyDescent="0.2">
      <c r="B421" s="120"/>
      <c r="C421" s="68"/>
      <c r="D421" s="68"/>
      <c r="E421" s="69"/>
      <c r="F421" s="68" t="s">
        <v>354</v>
      </c>
      <c r="G421" s="131">
        <v>0</v>
      </c>
      <c r="H421" s="78" t="s">
        <v>75</v>
      </c>
      <c r="I421" s="121"/>
      <c r="J421" s="89"/>
      <c r="K421" s="71"/>
      <c r="L421" s="127">
        <v>15.5</v>
      </c>
      <c r="M421" s="93"/>
      <c r="N421" s="128">
        <f t="shared" si="72"/>
        <v>15.5</v>
      </c>
      <c r="O421" s="128">
        <f t="shared" si="70"/>
        <v>15.5</v>
      </c>
      <c r="P421" s="129">
        <f t="shared" si="71"/>
        <v>0</v>
      </c>
    </row>
    <row r="422" spans="2:16" outlineLevel="1" x14ac:dyDescent="0.2">
      <c r="B422" s="120"/>
      <c r="C422" s="68"/>
      <c r="D422" s="68"/>
      <c r="E422" s="69"/>
      <c r="F422" s="68" t="s">
        <v>356</v>
      </c>
      <c r="G422" s="122">
        <f>G421</f>
        <v>0</v>
      </c>
      <c r="H422" s="78" t="s">
        <v>75</v>
      </c>
      <c r="I422" s="121"/>
      <c r="J422" s="89"/>
      <c r="K422" s="71"/>
      <c r="L422" s="127">
        <v>4.95</v>
      </c>
      <c r="M422" s="93"/>
      <c r="N422" s="128">
        <f t="shared" si="72"/>
        <v>4.95</v>
      </c>
      <c r="O422" s="128">
        <f t="shared" si="70"/>
        <v>4.95</v>
      </c>
      <c r="P422" s="129">
        <f t="shared" si="71"/>
        <v>0</v>
      </c>
    </row>
    <row r="423" spans="2:16" outlineLevel="1" x14ac:dyDescent="0.2">
      <c r="B423" s="120"/>
      <c r="C423" s="68"/>
      <c r="D423" s="68"/>
      <c r="E423" s="69"/>
      <c r="F423" s="68" t="s">
        <v>355</v>
      </c>
      <c r="G423" s="122">
        <f>G422/0.75</f>
        <v>0</v>
      </c>
      <c r="H423" s="78" t="s">
        <v>1</v>
      </c>
      <c r="I423" s="121"/>
      <c r="J423" s="89"/>
      <c r="K423" s="71"/>
      <c r="L423" s="127">
        <v>9.35</v>
      </c>
      <c r="M423" s="93"/>
      <c r="N423" s="128">
        <f t="shared" si="72"/>
        <v>9.35</v>
      </c>
      <c r="O423" s="128">
        <f t="shared" si="70"/>
        <v>9.35</v>
      </c>
      <c r="P423" s="129">
        <f t="shared" si="71"/>
        <v>0</v>
      </c>
    </row>
    <row r="424" spans="2:16" outlineLevel="1" x14ac:dyDescent="0.2">
      <c r="B424" s="120"/>
      <c r="C424" s="68"/>
      <c r="D424" s="68"/>
      <c r="E424" s="69"/>
      <c r="F424" s="68" t="s">
        <v>493</v>
      </c>
      <c r="G424" s="131">
        <v>0</v>
      </c>
      <c r="H424" s="78" t="s">
        <v>75</v>
      </c>
      <c r="I424" s="71"/>
      <c r="J424" s="89" t="s">
        <v>262</v>
      </c>
      <c r="K424" s="71" t="s">
        <v>375</v>
      </c>
      <c r="L424" s="127">
        <f>1.7*1.2</f>
        <v>2.04</v>
      </c>
      <c r="M424" s="93"/>
      <c r="N424" s="128">
        <f t="shared" si="72"/>
        <v>2.04</v>
      </c>
      <c r="O424" s="128">
        <f t="shared" si="70"/>
        <v>2.04</v>
      </c>
      <c r="P424" s="129">
        <f t="shared" si="71"/>
        <v>0</v>
      </c>
    </row>
    <row r="425" spans="2:16" outlineLevel="1" x14ac:dyDescent="0.2">
      <c r="B425" s="120"/>
      <c r="C425" s="68"/>
      <c r="D425" s="68"/>
      <c r="E425" s="69"/>
      <c r="F425" s="68" t="s">
        <v>295</v>
      </c>
      <c r="G425" s="131">
        <v>0</v>
      </c>
      <c r="H425" s="78" t="s">
        <v>8</v>
      </c>
      <c r="I425" s="121"/>
      <c r="J425" s="89"/>
      <c r="K425" s="71"/>
      <c r="L425" s="127">
        <v>25</v>
      </c>
      <c r="M425" s="93"/>
      <c r="N425" s="128">
        <f t="shared" si="72"/>
        <v>25</v>
      </c>
      <c r="O425" s="128">
        <f t="shared" si="70"/>
        <v>25</v>
      </c>
      <c r="P425" s="129">
        <f t="shared" si="71"/>
        <v>0</v>
      </c>
    </row>
    <row r="426" spans="2:16" outlineLevel="1" x14ac:dyDescent="0.2">
      <c r="B426" s="120"/>
      <c r="C426" s="68"/>
      <c r="D426" s="68"/>
      <c r="E426" s="77" t="s">
        <v>536</v>
      </c>
      <c r="F426" s="68"/>
      <c r="G426" s="122"/>
      <c r="H426" s="78"/>
      <c r="I426" s="121"/>
      <c r="J426" s="89"/>
      <c r="K426" s="71"/>
      <c r="L426" s="127"/>
      <c r="M426" s="93"/>
      <c r="N426" s="128">
        <f t="shared" si="72"/>
        <v>0</v>
      </c>
      <c r="O426" s="128"/>
      <c r="P426" s="129"/>
    </row>
    <row r="427" spans="2:16" outlineLevel="1" x14ac:dyDescent="0.2">
      <c r="B427" s="120"/>
      <c r="C427" s="68"/>
      <c r="D427" s="68"/>
      <c r="E427" s="69"/>
      <c r="F427" s="68" t="s">
        <v>486</v>
      </c>
      <c r="G427" s="131">
        <v>0</v>
      </c>
      <c r="H427" s="78" t="s">
        <v>4</v>
      </c>
      <c r="I427" s="121"/>
      <c r="J427" s="89"/>
      <c r="K427" s="71" t="s">
        <v>485</v>
      </c>
      <c r="L427" s="80">
        <v>31.9</v>
      </c>
      <c r="M427" s="93"/>
      <c r="N427" s="128">
        <f t="shared" si="72"/>
        <v>31.9</v>
      </c>
      <c r="O427" s="128">
        <f t="shared" ref="O427:O434" si="73">N427</f>
        <v>31.9</v>
      </c>
      <c r="P427" s="129">
        <f t="shared" ref="P427:P434" si="74">G427*O427</f>
        <v>0</v>
      </c>
    </row>
    <row r="428" spans="2:16" outlineLevel="1" x14ac:dyDescent="0.2">
      <c r="B428" s="120"/>
      <c r="C428" s="68"/>
      <c r="D428" s="68"/>
      <c r="E428" s="69"/>
      <c r="F428" s="68" t="s">
        <v>81</v>
      </c>
      <c r="G428" s="131">
        <v>0</v>
      </c>
      <c r="H428" s="78" t="s">
        <v>4</v>
      </c>
      <c r="I428" s="121"/>
      <c r="J428" s="89"/>
      <c r="K428" s="71" t="s">
        <v>152</v>
      </c>
      <c r="L428" s="80">
        <v>16.36</v>
      </c>
      <c r="M428" s="93"/>
      <c r="N428" s="128">
        <f t="shared" si="72"/>
        <v>16.36</v>
      </c>
      <c r="O428" s="128">
        <f t="shared" si="73"/>
        <v>16.36</v>
      </c>
      <c r="P428" s="129">
        <f t="shared" si="74"/>
        <v>0</v>
      </c>
    </row>
    <row r="429" spans="2:16" outlineLevel="1" x14ac:dyDescent="0.2">
      <c r="B429" s="120"/>
      <c r="C429" s="68"/>
      <c r="D429" s="68"/>
      <c r="E429" s="69"/>
      <c r="F429" s="68" t="s">
        <v>383</v>
      </c>
      <c r="G429" s="131">
        <v>0</v>
      </c>
      <c r="H429" s="78" t="s">
        <v>75</v>
      </c>
      <c r="I429" s="121"/>
      <c r="J429" s="89"/>
      <c r="K429" s="71" t="s">
        <v>384</v>
      </c>
      <c r="L429" s="80">
        <v>125</v>
      </c>
      <c r="M429" s="93"/>
      <c r="N429" s="128">
        <f t="shared" si="72"/>
        <v>125</v>
      </c>
      <c r="O429" s="128">
        <f t="shared" si="73"/>
        <v>125</v>
      </c>
      <c r="P429" s="129">
        <f t="shared" si="74"/>
        <v>0</v>
      </c>
    </row>
    <row r="430" spans="2:16" outlineLevel="1" x14ac:dyDescent="0.2">
      <c r="B430" s="120"/>
      <c r="C430" s="68"/>
      <c r="D430" s="68"/>
      <c r="E430" s="69"/>
      <c r="F430" s="68" t="s">
        <v>385</v>
      </c>
      <c r="G430" s="131">
        <v>0</v>
      </c>
      <c r="H430" s="78" t="s">
        <v>1</v>
      </c>
      <c r="I430" s="121"/>
      <c r="J430" s="89"/>
      <c r="K430" s="71"/>
      <c r="L430" s="80">
        <v>318</v>
      </c>
      <c r="M430" s="93"/>
      <c r="N430" s="128">
        <f t="shared" si="72"/>
        <v>318</v>
      </c>
      <c r="O430" s="128">
        <f t="shared" si="73"/>
        <v>318</v>
      </c>
      <c r="P430" s="129">
        <f t="shared" si="74"/>
        <v>0</v>
      </c>
    </row>
    <row r="431" spans="2:16" outlineLevel="1" x14ac:dyDescent="0.2">
      <c r="B431" s="120"/>
      <c r="C431" s="68"/>
      <c r="D431" s="68"/>
      <c r="E431" s="69"/>
      <c r="F431" s="68" t="s">
        <v>154</v>
      </c>
      <c r="G431" s="122">
        <f>G432</f>
        <v>0</v>
      </c>
      <c r="H431" s="78" t="s">
        <v>4</v>
      </c>
      <c r="I431" s="121"/>
      <c r="J431" s="89"/>
      <c r="K431" s="71" t="s">
        <v>155</v>
      </c>
      <c r="L431" s="80">
        <v>3.28</v>
      </c>
      <c r="M431" s="93"/>
      <c r="N431" s="128">
        <f t="shared" si="72"/>
        <v>3.28</v>
      </c>
      <c r="O431" s="128">
        <f t="shared" si="73"/>
        <v>3.28</v>
      </c>
      <c r="P431" s="129">
        <f t="shared" si="74"/>
        <v>0</v>
      </c>
    </row>
    <row r="432" spans="2:16" outlineLevel="1" x14ac:dyDescent="0.2">
      <c r="B432" s="120"/>
      <c r="C432" s="68"/>
      <c r="D432" s="68"/>
      <c r="E432" s="69"/>
      <c r="F432" s="68" t="s">
        <v>444</v>
      </c>
      <c r="G432" s="122">
        <f>G427-G428</f>
        <v>0</v>
      </c>
      <c r="H432" s="78" t="s">
        <v>4</v>
      </c>
      <c r="I432" s="121"/>
      <c r="J432" s="89"/>
      <c r="K432" s="71" t="s">
        <v>156</v>
      </c>
      <c r="L432" s="80">
        <v>7.38</v>
      </c>
      <c r="M432" s="93"/>
      <c r="N432" s="128">
        <f t="shared" si="72"/>
        <v>7.38</v>
      </c>
      <c r="O432" s="128">
        <f t="shared" si="73"/>
        <v>7.38</v>
      </c>
      <c r="P432" s="129">
        <f t="shared" si="74"/>
        <v>0</v>
      </c>
    </row>
    <row r="433" spans="2:16" outlineLevel="1" x14ac:dyDescent="0.2">
      <c r="B433" s="120"/>
      <c r="C433" s="68"/>
      <c r="D433" s="68"/>
      <c r="E433" s="69"/>
      <c r="F433" s="68" t="s">
        <v>158</v>
      </c>
      <c r="G433" s="131">
        <v>0</v>
      </c>
      <c r="H433" s="78" t="s">
        <v>75</v>
      </c>
      <c r="I433" s="121"/>
      <c r="J433" s="89"/>
      <c r="K433" s="71" t="s">
        <v>159</v>
      </c>
      <c r="L433" s="80">
        <v>5.5</v>
      </c>
      <c r="M433" s="93"/>
      <c r="N433" s="128">
        <f t="shared" si="72"/>
        <v>5.5</v>
      </c>
      <c r="O433" s="128">
        <f t="shared" si="73"/>
        <v>5.5</v>
      </c>
      <c r="P433" s="129">
        <f t="shared" si="74"/>
        <v>0</v>
      </c>
    </row>
    <row r="434" spans="2:16" outlineLevel="1" x14ac:dyDescent="0.2">
      <c r="B434" s="120"/>
      <c r="C434" s="68"/>
      <c r="D434" s="68"/>
      <c r="E434" s="69"/>
      <c r="F434" s="68" t="s">
        <v>295</v>
      </c>
      <c r="G434" s="131">
        <v>0</v>
      </c>
      <c r="H434" s="78" t="s">
        <v>8</v>
      </c>
      <c r="I434" s="121"/>
      <c r="J434" s="89"/>
      <c r="K434" s="71"/>
      <c r="L434" s="80">
        <v>25</v>
      </c>
      <c r="M434" s="93"/>
      <c r="N434" s="128">
        <f t="shared" si="72"/>
        <v>25</v>
      </c>
      <c r="O434" s="128">
        <f t="shared" si="73"/>
        <v>25</v>
      </c>
      <c r="P434" s="129">
        <f t="shared" si="74"/>
        <v>0</v>
      </c>
    </row>
    <row r="435" spans="2:16" outlineLevel="1" x14ac:dyDescent="0.2">
      <c r="B435" s="133"/>
      <c r="C435" s="95"/>
      <c r="D435" s="95"/>
      <c r="E435" s="77" t="s">
        <v>537</v>
      </c>
      <c r="F435" s="68"/>
      <c r="G435" s="92"/>
      <c r="H435" s="78"/>
      <c r="I435" s="89"/>
      <c r="J435" s="89"/>
      <c r="K435" s="71"/>
      <c r="L435" s="80"/>
      <c r="M435" s="93"/>
      <c r="N435" s="128">
        <f t="shared" si="72"/>
        <v>0</v>
      </c>
      <c r="O435" s="71"/>
      <c r="P435" s="134"/>
    </row>
    <row r="436" spans="2:16" outlineLevel="1" x14ac:dyDescent="0.2">
      <c r="B436" s="133"/>
      <c r="C436" s="95"/>
      <c r="D436" s="95"/>
      <c r="E436" s="77"/>
      <c r="F436" s="68" t="s">
        <v>483</v>
      </c>
      <c r="G436" s="212">
        <v>0</v>
      </c>
      <c r="H436" s="78" t="s">
        <v>1</v>
      </c>
      <c r="I436" s="71"/>
      <c r="J436" s="89" t="s">
        <v>322</v>
      </c>
      <c r="K436" s="71" t="s">
        <v>378</v>
      </c>
      <c r="L436" s="80">
        <f>510*1.2</f>
        <v>612</v>
      </c>
      <c r="M436" s="94"/>
      <c r="N436" s="128">
        <f t="shared" si="72"/>
        <v>612</v>
      </c>
      <c r="O436" s="91">
        <f t="shared" ref="O436:O460" si="75">N436</f>
        <v>612</v>
      </c>
      <c r="P436" s="135">
        <f t="shared" ref="P436:P460" si="76">G436*O436</f>
        <v>0</v>
      </c>
    </row>
    <row r="437" spans="2:16" outlineLevel="1" x14ac:dyDescent="0.2">
      <c r="B437" s="133"/>
      <c r="C437" s="95"/>
      <c r="D437" s="95"/>
      <c r="E437" s="77"/>
      <c r="F437" s="68" t="s">
        <v>484</v>
      </c>
      <c r="G437" s="212">
        <v>0</v>
      </c>
      <c r="H437" s="78" t="s">
        <v>1</v>
      </c>
      <c r="I437" s="71"/>
      <c r="J437" s="89" t="s">
        <v>323</v>
      </c>
      <c r="K437" s="71" t="s">
        <v>379</v>
      </c>
      <c r="L437" s="80">
        <f>730*1.2</f>
        <v>876</v>
      </c>
      <c r="M437" s="94"/>
      <c r="N437" s="128">
        <f t="shared" si="72"/>
        <v>876</v>
      </c>
      <c r="O437" s="91">
        <f t="shared" si="75"/>
        <v>876</v>
      </c>
      <c r="P437" s="135">
        <f t="shared" si="76"/>
        <v>0</v>
      </c>
    </row>
    <row r="438" spans="2:16" outlineLevel="1" x14ac:dyDescent="0.2">
      <c r="B438" s="133"/>
      <c r="C438" s="95"/>
      <c r="D438" s="95"/>
      <c r="E438" s="77"/>
      <c r="F438" s="68" t="s">
        <v>360</v>
      </c>
      <c r="G438" s="212">
        <v>0</v>
      </c>
      <c r="H438" s="78" t="s">
        <v>1</v>
      </c>
      <c r="I438" s="71"/>
      <c r="J438" s="89" t="s">
        <v>324</v>
      </c>
      <c r="K438" s="71"/>
      <c r="L438" s="80">
        <v>22</v>
      </c>
      <c r="M438" s="94"/>
      <c r="N438" s="128">
        <f t="shared" si="72"/>
        <v>22</v>
      </c>
      <c r="O438" s="91">
        <f t="shared" si="75"/>
        <v>22</v>
      </c>
      <c r="P438" s="135">
        <f t="shared" si="76"/>
        <v>0</v>
      </c>
    </row>
    <row r="439" spans="2:16" outlineLevel="1" x14ac:dyDescent="0.2">
      <c r="B439" s="133"/>
      <c r="C439" s="95"/>
      <c r="D439" s="95"/>
      <c r="E439" s="77"/>
      <c r="F439" s="68" t="s">
        <v>364</v>
      </c>
      <c r="G439" s="212">
        <v>0</v>
      </c>
      <c r="H439" s="78" t="s">
        <v>1</v>
      </c>
      <c r="I439" s="71"/>
      <c r="J439" s="89" t="s">
        <v>325</v>
      </c>
      <c r="K439" s="71"/>
      <c r="L439" s="80">
        <v>60</v>
      </c>
      <c r="M439" s="94"/>
      <c r="N439" s="128">
        <f t="shared" si="72"/>
        <v>60</v>
      </c>
      <c r="O439" s="91">
        <f t="shared" si="75"/>
        <v>60</v>
      </c>
      <c r="P439" s="135">
        <f t="shared" si="76"/>
        <v>0</v>
      </c>
    </row>
    <row r="440" spans="2:16" outlineLevel="1" x14ac:dyDescent="0.2">
      <c r="B440" s="133"/>
      <c r="C440" s="95"/>
      <c r="D440" s="95"/>
      <c r="E440" s="77"/>
      <c r="F440" s="68" t="s">
        <v>494</v>
      </c>
      <c r="G440" s="212">
        <v>0</v>
      </c>
      <c r="H440" s="78" t="s">
        <v>75</v>
      </c>
      <c r="I440" s="71"/>
      <c r="J440" s="89"/>
      <c r="K440" s="71"/>
      <c r="L440" s="80">
        <f>30*1.2</f>
        <v>36</v>
      </c>
      <c r="M440" s="94"/>
      <c r="N440" s="128">
        <f t="shared" si="72"/>
        <v>36</v>
      </c>
      <c r="O440" s="91">
        <f t="shared" si="75"/>
        <v>36</v>
      </c>
      <c r="P440" s="135">
        <f t="shared" si="76"/>
        <v>0</v>
      </c>
    </row>
    <row r="441" spans="2:16" outlineLevel="1" x14ac:dyDescent="0.2">
      <c r="B441" s="133"/>
      <c r="C441" s="95"/>
      <c r="D441" s="95"/>
      <c r="E441" s="77"/>
      <c r="F441" s="68" t="s">
        <v>489</v>
      </c>
      <c r="G441" s="212">
        <v>0</v>
      </c>
      <c r="H441" s="78" t="s">
        <v>1</v>
      </c>
      <c r="I441" s="71"/>
      <c r="J441" s="89"/>
      <c r="K441" s="71"/>
      <c r="L441" s="80">
        <v>150</v>
      </c>
      <c r="M441" s="94"/>
      <c r="N441" s="128">
        <f t="shared" si="72"/>
        <v>150</v>
      </c>
      <c r="O441" s="91">
        <f t="shared" si="75"/>
        <v>150</v>
      </c>
      <c r="P441" s="135">
        <f t="shared" si="76"/>
        <v>0</v>
      </c>
    </row>
    <row r="442" spans="2:16" outlineLevel="1" x14ac:dyDescent="0.2">
      <c r="B442" s="133"/>
      <c r="C442" s="95"/>
      <c r="D442" s="95"/>
      <c r="E442" s="77"/>
      <c r="F442" s="68" t="s">
        <v>490</v>
      </c>
      <c r="G442" s="212">
        <v>0</v>
      </c>
      <c r="H442" s="78" t="s">
        <v>1</v>
      </c>
      <c r="I442" s="71"/>
      <c r="J442" s="89"/>
      <c r="K442" s="71"/>
      <c r="L442" s="80">
        <v>45</v>
      </c>
      <c r="M442" s="94"/>
      <c r="N442" s="128">
        <f t="shared" si="72"/>
        <v>45</v>
      </c>
      <c r="O442" s="91">
        <f t="shared" si="75"/>
        <v>45</v>
      </c>
      <c r="P442" s="135">
        <f t="shared" si="76"/>
        <v>0</v>
      </c>
    </row>
    <row r="443" spans="2:16" outlineLevel="1" x14ac:dyDescent="0.2">
      <c r="B443" s="133"/>
      <c r="C443" s="95"/>
      <c r="D443" s="95"/>
      <c r="E443" s="77"/>
      <c r="F443" s="68" t="s">
        <v>354</v>
      </c>
      <c r="G443" s="212">
        <v>0</v>
      </c>
      <c r="H443" s="78" t="s">
        <v>75</v>
      </c>
      <c r="I443" s="71"/>
      <c r="J443" s="89"/>
      <c r="K443" s="71"/>
      <c r="L443" s="80">
        <v>15.5</v>
      </c>
      <c r="M443" s="94"/>
      <c r="N443" s="128">
        <f t="shared" si="72"/>
        <v>15.5</v>
      </c>
      <c r="O443" s="91">
        <f t="shared" si="75"/>
        <v>15.5</v>
      </c>
      <c r="P443" s="135">
        <f t="shared" si="76"/>
        <v>0</v>
      </c>
    </row>
    <row r="444" spans="2:16" outlineLevel="1" x14ac:dyDescent="0.2">
      <c r="B444" s="133"/>
      <c r="C444" s="95"/>
      <c r="D444" s="95"/>
      <c r="E444" s="77"/>
      <c r="F444" s="68" t="s">
        <v>211</v>
      </c>
      <c r="G444" s="212">
        <v>0</v>
      </c>
      <c r="H444" s="78" t="s">
        <v>1</v>
      </c>
      <c r="I444" s="71"/>
      <c r="J444" s="89"/>
      <c r="K444" s="71"/>
      <c r="L444" s="80">
        <v>1.2</v>
      </c>
      <c r="M444" s="94"/>
      <c r="N444" s="128">
        <f t="shared" si="72"/>
        <v>1.2</v>
      </c>
      <c r="O444" s="91">
        <f t="shared" si="75"/>
        <v>1.2</v>
      </c>
      <c r="P444" s="135">
        <f t="shared" si="76"/>
        <v>0</v>
      </c>
    </row>
    <row r="445" spans="2:16" outlineLevel="1" x14ac:dyDescent="0.2">
      <c r="B445" s="133"/>
      <c r="C445" s="95"/>
      <c r="D445" s="95"/>
      <c r="E445" s="77"/>
      <c r="F445" s="68" t="s">
        <v>222</v>
      </c>
      <c r="G445" s="212">
        <v>0</v>
      </c>
      <c r="H445" s="78" t="s">
        <v>1</v>
      </c>
      <c r="I445" s="71"/>
      <c r="J445" s="89"/>
      <c r="K445" s="71"/>
      <c r="L445" s="80">
        <v>19.5</v>
      </c>
      <c r="M445" s="94"/>
      <c r="N445" s="128">
        <f t="shared" si="72"/>
        <v>19.5</v>
      </c>
      <c r="O445" s="91">
        <f t="shared" si="75"/>
        <v>19.5</v>
      </c>
      <c r="P445" s="135">
        <f t="shared" si="76"/>
        <v>0</v>
      </c>
    </row>
    <row r="446" spans="2:16" outlineLevel="1" x14ac:dyDescent="0.2">
      <c r="B446" s="133"/>
      <c r="C446" s="95"/>
      <c r="D446" s="95"/>
      <c r="E446" s="77"/>
      <c r="F446" s="68" t="s">
        <v>357</v>
      </c>
      <c r="G446" s="212">
        <v>0</v>
      </c>
      <c r="H446" s="78" t="s">
        <v>75</v>
      </c>
      <c r="I446" s="71"/>
      <c r="J446" s="89"/>
      <c r="K446" s="71"/>
      <c r="L446" s="80">
        <v>15</v>
      </c>
      <c r="M446" s="94"/>
      <c r="N446" s="128">
        <f t="shared" si="72"/>
        <v>15</v>
      </c>
      <c r="O446" s="91">
        <f t="shared" si="75"/>
        <v>15</v>
      </c>
      <c r="P446" s="135">
        <f t="shared" si="76"/>
        <v>0</v>
      </c>
    </row>
    <row r="447" spans="2:16" outlineLevel="1" x14ac:dyDescent="0.2">
      <c r="B447" s="133"/>
      <c r="C447" s="95"/>
      <c r="D447" s="95"/>
      <c r="E447" s="77"/>
      <c r="F447" s="68" t="s">
        <v>326</v>
      </c>
      <c r="G447" s="212">
        <v>0</v>
      </c>
      <c r="H447" s="78" t="s">
        <v>1</v>
      </c>
      <c r="I447" s="71"/>
      <c r="J447" s="89"/>
      <c r="K447" s="71"/>
      <c r="L447" s="80">
        <v>1.1000000000000001</v>
      </c>
      <c r="M447" s="94"/>
      <c r="N447" s="128">
        <f t="shared" si="72"/>
        <v>1.1000000000000001</v>
      </c>
      <c r="O447" s="91">
        <f t="shared" si="75"/>
        <v>1.1000000000000001</v>
      </c>
      <c r="P447" s="135">
        <f t="shared" si="76"/>
        <v>0</v>
      </c>
    </row>
    <row r="448" spans="2:16" outlineLevel="1" x14ac:dyDescent="0.2">
      <c r="B448" s="133"/>
      <c r="C448" s="95"/>
      <c r="D448" s="95"/>
      <c r="E448" s="77"/>
      <c r="F448" s="68" t="s">
        <v>327</v>
      </c>
      <c r="G448" s="212">
        <v>0</v>
      </c>
      <c r="H448" s="78" t="s">
        <v>1</v>
      </c>
      <c r="I448" s="71"/>
      <c r="J448" s="89"/>
      <c r="K448" s="71"/>
      <c r="L448" s="80">
        <v>15</v>
      </c>
      <c r="M448" s="94"/>
      <c r="N448" s="128">
        <f t="shared" si="72"/>
        <v>15</v>
      </c>
      <c r="O448" s="91">
        <f t="shared" si="75"/>
        <v>15</v>
      </c>
      <c r="P448" s="135">
        <f t="shared" si="76"/>
        <v>0</v>
      </c>
    </row>
    <row r="449" spans="1:16" outlineLevel="1" x14ac:dyDescent="0.2">
      <c r="B449" s="133"/>
      <c r="C449" s="95"/>
      <c r="D449" s="95"/>
      <c r="E449" s="77"/>
      <c r="F449" s="68" t="s">
        <v>328</v>
      </c>
      <c r="G449" s="214">
        <f>2*G436</f>
        <v>0</v>
      </c>
      <c r="H449" s="78" t="s">
        <v>1</v>
      </c>
      <c r="I449" s="71"/>
      <c r="J449" s="89"/>
      <c r="K449" s="71"/>
      <c r="L449" s="80">
        <f>46.51*1.2</f>
        <v>55.811999999999998</v>
      </c>
      <c r="M449" s="94"/>
      <c r="N449" s="128">
        <f t="shared" si="72"/>
        <v>55.811999999999998</v>
      </c>
      <c r="O449" s="91">
        <f t="shared" si="75"/>
        <v>55.811999999999998</v>
      </c>
      <c r="P449" s="135">
        <f t="shared" si="76"/>
        <v>0</v>
      </c>
    </row>
    <row r="450" spans="1:16" outlineLevel="1" x14ac:dyDescent="0.2">
      <c r="B450" s="133"/>
      <c r="C450" s="95"/>
      <c r="D450" s="95"/>
      <c r="E450" s="77"/>
      <c r="F450" s="68" t="s">
        <v>329</v>
      </c>
      <c r="G450" s="92">
        <f>2*G437</f>
        <v>0</v>
      </c>
      <c r="H450" s="78" t="s">
        <v>1</v>
      </c>
      <c r="I450" s="71"/>
      <c r="J450" s="89"/>
      <c r="K450" s="71"/>
      <c r="L450" s="80">
        <f>53.9*1.2</f>
        <v>64.679999999999993</v>
      </c>
      <c r="M450" s="94"/>
      <c r="N450" s="128">
        <f t="shared" si="72"/>
        <v>64.679999999999993</v>
      </c>
      <c r="O450" s="91">
        <f t="shared" si="75"/>
        <v>64.679999999999993</v>
      </c>
      <c r="P450" s="135">
        <f t="shared" si="76"/>
        <v>0</v>
      </c>
    </row>
    <row r="451" spans="1:16" outlineLevel="1" x14ac:dyDescent="0.2">
      <c r="B451" s="133"/>
      <c r="C451" s="95"/>
      <c r="D451" s="95"/>
      <c r="E451" s="77"/>
      <c r="F451" s="68" t="s">
        <v>380</v>
      </c>
      <c r="G451" s="92">
        <f>G440</f>
        <v>0</v>
      </c>
      <c r="H451" s="78" t="s">
        <v>75</v>
      </c>
      <c r="I451" s="71"/>
      <c r="J451" s="89"/>
      <c r="K451" s="71" t="s">
        <v>381</v>
      </c>
      <c r="L451" s="80">
        <v>45</v>
      </c>
      <c r="M451" s="94"/>
      <c r="N451" s="128">
        <f t="shared" si="72"/>
        <v>45</v>
      </c>
      <c r="O451" s="91">
        <f t="shared" si="75"/>
        <v>45</v>
      </c>
      <c r="P451" s="135">
        <f t="shared" si="76"/>
        <v>0</v>
      </c>
    </row>
    <row r="452" spans="1:16" outlineLevel="1" x14ac:dyDescent="0.2">
      <c r="B452" s="133"/>
      <c r="C452" s="95"/>
      <c r="D452" s="95"/>
      <c r="E452" s="77"/>
      <c r="F452" s="68" t="s">
        <v>356</v>
      </c>
      <c r="G452" s="92">
        <f>G443</f>
        <v>0</v>
      </c>
      <c r="H452" s="78" t="s">
        <v>75</v>
      </c>
      <c r="I452" s="71"/>
      <c r="J452" s="89"/>
      <c r="K452" s="71"/>
      <c r="L452" s="80">
        <v>4.95</v>
      </c>
      <c r="M452" s="94"/>
      <c r="N452" s="128">
        <f t="shared" si="72"/>
        <v>4.95</v>
      </c>
      <c r="O452" s="91">
        <f t="shared" si="75"/>
        <v>4.95</v>
      </c>
      <c r="P452" s="135">
        <f t="shared" si="76"/>
        <v>0</v>
      </c>
    </row>
    <row r="453" spans="1:16" outlineLevel="1" x14ac:dyDescent="0.2">
      <c r="B453" s="133"/>
      <c r="C453" s="95"/>
      <c r="D453" s="95"/>
      <c r="E453" s="77"/>
      <c r="F453" s="68" t="s">
        <v>359</v>
      </c>
      <c r="G453" s="92">
        <f>G446</f>
        <v>0</v>
      </c>
      <c r="H453" s="78" t="s">
        <v>75</v>
      </c>
      <c r="I453" s="71"/>
      <c r="J453" s="89"/>
      <c r="K453" s="71"/>
      <c r="L453" s="80">
        <v>4.07</v>
      </c>
      <c r="M453" s="94"/>
      <c r="N453" s="128">
        <f t="shared" si="72"/>
        <v>4.07</v>
      </c>
      <c r="O453" s="91">
        <f t="shared" si="75"/>
        <v>4.07</v>
      </c>
      <c r="P453" s="135">
        <f t="shared" si="76"/>
        <v>0</v>
      </c>
    </row>
    <row r="454" spans="1:16" outlineLevel="1" x14ac:dyDescent="0.2">
      <c r="B454" s="133"/>
      <c r="C454" s="95"/>
      <c r="D454" s="95"/>
      <c r="E454" s="77"/>
      <c r="F454" s="68" t="s">
        <v>382</v>
      </c>
      <c r="G454" s="92">
        <f>G451</f>
        <v>0</v>
      </c>
      <c r="H454" s="78" t="s">
        <v>1</v>
      </c>
      <c r="I454" s="71"/>
      <c r="J454" s="89"/>
      <c r="K454" s="71"/>
      <c r="L454" s="80">
        <f>10*1.2</f>
        <v>12</v>
      </c>
      <c r="M454" s="94"/>
      <c r="N454" s="128">
        <f t="shared" si="72"/>
        <v>12</v>
      </c>
      <c r="O454" s="91">
        <f t="shared" si="75"/>
        <v>12</v>
      </c>
      <c r="P454" s="135">
        <f t="shared" si="76"/>
        <v>0</v>
      </c>
    </row>
    <row r="455" spans="1:16" outlineLevel="1" x14ac:dyDescent="0.2">
      <c r="B455" s="133"/>
      <c r="C455" s="95"/>
      <c r="D455" s="95"/>
      <c r="E455" s="77"/>
      <c r="F455" s="68" t="s">
        <v>355</v>
      </c>
      <c r="G455" s="92">
        <f>G452/0.5</f>
        <v>0</v>
      </c>
      <c r="H455" s="78" t="s">
        <v>1</v>
      </c>
      <c r="I455" s="71"/>
      <c r="J455" s="89"/>
      <c r="K455" s="71"/>
      <c r="L455" s="80">
        <v>9.35</v>
      </c>
      <c r="M455" s="94"/>
      <c r="N455" s="128">
        <f t="shared" si="72"/>
        <v>9.35</v>
      </c>
      <c r="O455" s="91">
        <f t="shared" si="75"/>
        <v>9.35</v>
      </c>
      <c r="P455" s="135">
        <f t="shared" si="76"/>
        <v>0</v>
      </c>
    </row>
    <row r="456" spans="1:16" outlineLevel="1" x14ac:dyDescent="0.2">
      <c r="B456" s="133"/>
      <c r="C456" s="95"/>
      <c r="D456" s="95"/>
      <c r="E456" s="77"/>
      <c r="F456" s="68" t="s">
        <v>358</v>
      </c>
      <c r="G456" s="92">
        <f>G453/0.5</f>
        <v>0</v>
      </c>
      <c r="H456" s="78" t="s">
        <v>1</v>
      </c>
      <c r="I456" s="71"/>
      <c r="J456" s="89"/>
      <c r="K456" s="71"/>
      <c r="L456" s="80">
        <v>8.25</v>
      </c>
      <c r="M456" s="94"/>
      <c r="N456" s="128">
        <f t="shared" si="72"/>
        <v>8.25</v>
      </c>
      <c r="O456" s="91">
        <f t="shared" si="75"/>
        <v>8.25</v>
      </c>
      <c r="P456" s="135">
        <f t="shared" si="76"/>
        <v>0</v>
      </c>
    </row>
    <row r="457" spans="1:16" outlineLevel="1" x14ac:dyDescent="0.2">
      <c r="B457" s="133"/>
      <c r="C457" s="95"/>
      <c r="D457" s="95"/>
      <c r="E457" s="77"/>
      <c r="F457" s="68" t="s">
        <v>383</v>
      </c>
      <c r="G457" s="212">
        <v>0</v>
      </c>
      <c r="H457" s="78" t="s">
        <v>75</v>
      </c>
      <c r="I457" s="71"/>
      <c r="J457" s="89"/>
      <c r="K457" s="71" t="s">
        <v>384</v>
      </c>
      <c r="L457" s="80">
        <v>125</v>
      </c>
      <c r="M457" s="94"/>
      <c r="N457" s="128">
        <f t="shared" si="72"/>
        <v>125</v>
      </c>
      <c r="O457" s="91">
        <f t="shared" si="75"/>
        <v>125</v>
      </c>
      <c r="P457" s="135">
        <f t="shared" si="76"/>
        <v>0</v>
      </c>
    </row>
    <row r="458" spans="1:16" outlineLevel="1" x14ac:dyDescent="0.2">
      <c r="B458" s="133"/>
      <c r="C458" s="95"/>
      <c r="D458" s="95"/>
      <c r="E458" s="77"/>
      <c r="F458" s="68" t="s">
        <v>385</v>
      </c>
      <c r="G458" s="212">
        <v>0</v>
      </c>
      <c r="H458" s="78" t="s">
        <v>1</v>
      </c>
      <c r="I458" s="71"/>
      <c r="J458" s="89"/>
      <c r="K458" s="71"/>
      <c r="L458" s="80">
        <v>318</v>
      </c>
      <c r="M458" s="94"/>
      <c r="N458" s="128">
        <f t="shared" si="72"/>
        <v>318</v>
      </c>
      <c r="O458" s="91">
        <f t="shared" si="75"/>
        <v>318</v>
      </c>
      <c r="P458" s="135">
        <f t="shared" si="76"/>
        <v>0</v>
      </c>
    </row>
    <row r="459" spans="1:16" outlineLevel="1" x14ac:dyDescent="0.2">
      <c r="B459" s="133"/>
      <c r="C459" s="95"/>
      <c r="D459" s="95"/>
      <c r="E459" s="77"/>
      <c r="F459" s="68" t="s">
        <v>386</v>
      </c>
      <c r="G459" s="212">
        <v>0</v>
      </c>
      <c r="H459" s="78" t="s">
        <v>1</v>
      </c>
      <c r="I459" s="71"/>
      <c r="J459" s="89"/>
      <c r="K459" s="71"/>
      <c r="L459" s="80">
        <v>50</v>
      </c>
      <c r="M459" s="94"/>
      <c r="N459" s="128">
        <f t="shared" si="72"/>
        <v>50</v>
      </c>
      <c r="O459" s="91">
        <f t="shared" si="75"/>
        <v>50</v>
      </c>
      <c r="P459" s="135">
        <f t="shared" si="76"/>
        <v>0</v>
      </c>
    </row>
    <row r="460" spans="1:16" outlineLevel="1" x14ac:dyDescent="0.2">
      <c r="B460" s="133"/>
      <c r="C460" s="95"/>
      <c r="D460" s="95"/>
      <c r="E460" s="77"/>
      <c r="F460" s="68" t="s">
        <v>295</v>
      </c>
      <c r="G460" s="212">
        <v>0</v>
      </c>
      <c r="H460" s="78" t="s">
        <v>8</v>
      </c>
      <c r="I460" s="71"/>
      <c r="J460" s="89"/>
      <c r="K460" s="71"/>
      <c r="L460" s="80">
        <v>25</v>
      </c>
      <c r="M460" s="94"/>
      <c r="N460" s="128">
        <f t="shared" si="72"/>
        <v>25</v>
      </c>
      <c r="O460" s="91">
        <f t="shared" si="75"/>
        <v>25</v>
      </c>
      <c r="P460" s="135">
        <f t="shared" si="76"/>
        <v>0</v>
      </c>
    </row>
    <row r="461" spans="1:16" s="153" customFormat="1" ht="15" x14ac:dyDescent="0.35">
      <c r="A461" s="172"/>
      <c r="B461" s="145"/>
      <c r="C461" s="74"/>
      <c r="D461" s="154" t="s">
        <v>108</v>
      </c>
      <c r="E461" s="108"/>
      <c r="F461" s="155"/>
      <c r="G461" s="156"/>
      <c r="H461" s="157"/>
      <c r="I461" s="176"/>
      <c r="J461" s="176"/>
      <c r="K461" s="159"/>
      <c r="L461" s="171"/>
      <c r="M461" s="161">
        <v>1</v>
      </c>
      <c r="N461" s="158"/>
      <c r="O461" s="158"/>
      <c r="P461" s="125">
        <f>SUM(P462:P466)</f>
        <v>0</v>
      </c>
    </row>
    <row r="462" spans="1:16" outlineLevel="1" x14ac:dyDescent="0.2">
      <c r="B462" s="120"/>
      <c r="C462" s="68"/>
      <c r="D462" s="68"/>
      <c r="E462" s="77" t="s">
        <v>305</v>
      </c>
      <c r="F462" s="70"/>
      <c r="G462" s="122"/>
      <c r="H462" s="123"/>
      <c r="I462" s="89"/>
      <c r="J462" s="89"/>
      <c r="K462" s="71"/>
      <c r="L462" s="127"/>
      <c r="M462" s="93"/>
      <c r="N462" s="121"/>
      <c r="O462" s="121"/>
      <c r="P462" s="124"/>
    </row>
    <row r="463" spans="1:16" outlineLevel="1" x14ac:dyDescent="0.2">
      <c r="B463" s="120"/>
      <c r="C463" s="68"/>
      <c r="D463" s="68"/>
      <c r="E463" s="69"/>
      <c r="F463" s="68" t="s">
        <v>492</v>
      </c>
      <c r="G463" s="131">
        <v>0</v>
      </c>
      <c r="H463" s="78" t="s">
        <v>75</v>
      </c>
      <c r="I463" s="121"/>
      <c r="J463" s="89"/>
      <c r="K463" s="71"/>
      <c r="L463" s="127">
        <f>37.9/3*1.3</f>
        <v>16.423333333333332</v>
      </c>
      <c r="M463" s="93"/>
      <c r="N463" s="128">
        <f>L463*M$461</f>
        <v>16.423333333333332</v>
      </c>
      <c r="O463" s="128">
        <f t="shared" ref="O463:O466" si="77">N463</f>
        <v>16.423333333333332</v>
      </c>
      <c r="P463" s="129">
        <f>G463*O463</f>
        <v>0</v>
      </c>
    </row>
    <row r="464" spans="1:16" outlineLevel="1" x14ac:dyDescent="0.2">
      <c r="B464" s="120"/>
      <c r="C464" s="68"/>
      <c r="D464" s="68"/>
      <c r="E464" s="69"/>
      <c r="F464" s="68" t="s">
        <v>491</v>
      </c>
      <c r="G464" s="131">
        <v>0</v>
      </c>
      <c r="H464" s="78" t="s">
        <v>1</v>
      </c>
      <c r="I464" s="121"/>
      <c r="J464" s="89"/>
      <c r="K464" s="71" t="s">
        <v>376</v>
      </c>
      <c r="L464" s="127">
        <f>12.5*1.2</f>
        <v>15</v>
      </c>
      <c r="M464" s="93"/>
      <c r="N464" s="128">
        <f t="shared" ref="N464:N466" si="78">L464*M$461</f>
        <v>15</v>
      </c>
      <c r="O464" s="128">
        <f t="shared" si="77"/>
        <v>15</v>
      </c>
      <c r="P464" s="129">
        <f>G464*O464</f>
        <v>0</v>
      </c>
    </row>
    <row r="465" spans="1:16" outlineLevel="1" x14ac:dyDescent="0.2">
      <c r="B465" s="120"/>
      <c r="C465" s="68"/>
      <c r="D465" s="68"/>
      <c r="E465" s="69"/>
      <c r="F465" s="68" t="s">
        <v>460</v>
      </c>
      <c r="G465" s="131">
        <v>0</v>
      </c>
      <c r="H465" s="78" t="s">
        <v>1</v>
      </c>
      <c r="I465" s="121"/>
      <c r="J465" s="89"/>
      <c r="K465" s="71" t="s">
        <v>377</v>
      </c>
      <c r="L465" s="127">
        <f>8.5*1.2</f>
        <v>10.199999999999999</v>
      </c>
      <c r="M465" s="93"/>
      <c r="N465" s="128">
        <f t="shared" si="78"/>
        <v>10.199999999999999</v>
      </c>
      <c r="O465" s="128">
        <f t="shared" si="77"/>
        <v>10.199999999999999</v>
      </c>
      <c r="P465" s="129">
        <f>G465*O465</f>
        <v>0</v>
      </c>
    </row>
    <row r="466" spans="1:16" outlineLevel="1" x14ac:dyDescent="0.2">
      <c r="B466" s="120"/>
      <c r="C466" s="68"/>
      <c r="D466" s="68"/>
      <c r="E466" s="69"/>
      <c r="F466" s="68" t="s">
        <v>295</v>
      </c>
      <c r="G466" s="131">
        <v>0</v>
      </c>
      <c r="H466" s="78" t="s">
        <v>8</v>
      </c>
      <c r="I466" s="121"/>
      <c r="J466" s="89"/>
      <c r="K466" s="71"/>
      <c r="L466" s="127">
        <v>25</v>
      </c>
      <c r="M466" s="93"/>
      <c r="N466" s="128">
        <f t="shared" si="78"/>
        <v>25</v>
      </c>
      <c r="O466" s="128">
        <f t="shared" si="77"/>
        <v>25</v>
      </c>
      <c r="P466" s="129">
        <f>G466*O466</f>
        <v>0</v>
      </c>
    </row>
    <row r="467" spans="1:16" s="153" customFormat="1" ht="15" x14ac:dyDescent="0.35">
      <c r="A467" s="172"/>
      <c r="B467" s="145"/>
      <c r="C467" s="74"/>
      <c r="D467" s="154" t="s">
        <v>109</v>
      </c>
      <c r="E467" s="108"/>
      <c r="F467" s="155"/>
      <c r="G467" s="156"/>
      <c r="H467" s="157"/>
      <c r="I467" s="176"/>
      <c r="J467" s="176"/>
      <c r="K467" s="159"/>
      <c r="L467" s="171"/>
      <c r="M467" s="161">
        <v>1</v>
      </c>
      <c r="N467" s="158"/>
      <c r="O467" s="158"/>
      <c r="P467" s="125">
        <f>SUM(P468:P473)</f>
        <v>0</v>
      </c>
    </row>
    <row r="468" spans="1:16" outlineLevel="1" x14ac:dyDescent="0.2">
      <c r="B468" s="120"/>
      <c r="C468" s="68"/>
      <c r="D468" s="68"/>
      <c r="E468" s="77" t="s">
        <v>330</v>
      </c>
      <c r="F468" s="68"/>
      <c r="G468" s="122"/>
      <c r="H468" s="123"/>
      <c r="I468" s="89"/>
      <c r="J468" s="89"/>
      <c r="K468" s="71"/>
      <c r="L468" s="127"/>
      <c r="M468" s="93"/>
      <c r="N468" s="121"/>
      <c r="O468" s="121"/>
      <c r="P468" s="124"/>
    </row>
    <row r="469" spans="1:16" outlineLevel="1" x14ac:dyDescent="0.2">
      <c r="B469" s="120"/>
      <c r="C469" s="68"/>
      <c r="D469" s="68"/>
      <c r="E469" s="77"/>
      <c r="F469" s="68" t="s">
        <v>387</v>
      </c>
      <c r="G469" s="131">
        <v>0</v>
      </c>
      <c r="H469" s="78" t="s">
        <v>75</v>
      </c>
      <c r="I469" s="121"/>
      <c r="J469" s="89"/>
      <c r="K469" s="71"/>
      <c r="L469" s="127">
        <f>350/2</f>
        <v>175</v>
      </c>
      <c r="M469" s="93"/>
      <c r="N469" s="128">
        <f>L469*M$467</f>
        <v>175</v>
      </c>
      <c r="O469" s="128">
        <f t="shared" ref="O469" si="79">N469</f>
        <v>175</v>
      </c>
      <c r="P469" s="129">
        <f>G469*O469</f>
        <v>0</v>
      </c>
    </row>
    <row r="470" spans="1:16" outlineLevel="1" x14ac:dyDescent="0.2">
      <c r="B470" s="120"/>
      <c r="C470" s="68"/>
      <c r="D470" s="68"/>
      <c r="E470" s="77"/>
      <c r="F470" s="68" t="s">
        <v>437</v>
      </c>
      <c r="G470" s="122"/>
      <c r="H470" s="78"/>
      <c r="I470" s="121"/>
      <c r="J470" s="89"/>
      <c r="K470" s="71"/>
      <c r="L470" s="127"/>
      <c r="M470" s="93"/>
      <c r="N470" s="128"/>
      <c r="O470" s="128"/>
      <c r="P470" s="129"/>
    </row>
    <row r="471" spans="1:16" outlineLevel="1" x14ac:dyDescent="0.2">
      <c r="B471" s="120"/>
      <c r="C471" s="68"/>
      <c r="D471" s="68"/>
      <c r="E471" s="77" t="s">
        <v>429</v>
      </c>
      <c r="F471" s="70"/>
      <c r="G471" s="122"/>
      <c r="H471" s="123"/>
      <c r="I471" s="89"/>
      <c r="J471" s="89"/>
      <c r="K471" s="71"/>
      <c r="L471" s="127"/>
      <c r="M471" s="93"/>
      <c r="N471" s="121"/>
      <c r="O471" s="121"/>
      <c r="P471" s="124"/>
    </row>
    <row r="472" spans="1:16" outlineLevel="1" x14ac:dyDescent="0.2">
      <c r="B472" s="120"/>
      <c r="C472" s="68"/>
      <c r="D472" s="68"/>
      <c r="E472" s="69"/>
      <c r="F472" s="68" t="s">
        <v>388</v>
      </c>
      <c r="G472" s="212">
        <v>0</v>
      </c>
      <c r="H472" s="78" t="s">
        <v>75</v>
      </c>
      <c r="I472" s="71"/>
      <c r="J472" s="89"/>
      <c r="K472" s="71"/>
      <c r="L472" s="80">
        <v>400</v>
      </c>
      <c r="M472" s="93"/>
      <c r="N472" s="128">
        <f>L472*M$467</f>
        <v>400</v>
      </c>
      <c r="O472" s="128">
        <f t="shared" ref="O472" si="80">N472</f>
        <v>400</v>
      </c>
      <c r="P472" s="129">
        <f>G472*O472</f>
        <v>0</v>
      </c>
    </row>
    <row r="473" spans="1:16" outlineLevel="1" x14ac:dyDescent="0.2">
      <c r="B473" s="120"/>
      <c r="C473" s="68"/>
      <c r="D473" s="68"/>
      <c r="E473" s="69"/>
      <c r="F473" s="68" t="s">
        <v>437</v>
      </c>
      <c r="G473" s="92"/>
      <c r="H473" s="78"/>
      <c r="I473" s="71"/>
      <c r="J473" s="89"/>
      <c r="K473" s="71"/>
      <c r="L473" s="80"/>
      <c r="M473" s="93"/>
      <c r="N473" s="128"/>
      <c r="O473" s="128"/>
      <c r="P473" s="129"/>
    </row>
    <row r="474" spans="1:16" s="153" customFormat="1" ht="15" x14ac:dyDescent="0.35">
      <c r="A474" s="172"/>
      <c r="B474" s="145"/>
      <c r="C474" s="106" t="s">
        <v>110</v>
      </c>
      <c r="D474" s="106"/>
      <c r="E474" s="111"/>
      <c r="F474" s="106"/>
      <c r="G474" s="112"/>
      <c r="H474" s="113"/>
      <c r="I474" s="175"/>
      <c r="J474" s="175"/>
      <c r="K474" s="111"/>
      <c r="L474" s="110"/>
      <c r="M474" s="170">
        <v>1</v>
      </c>
      <c r="N474" s="111"/>
      <c r="O474" s="111"/>
      <c r="P474" s="136">
        <f>SUM(P475:P483)</f>
        <v>0</v>
      </c>
    </row>
    <row r="475" spans="1:16" outlineLevel="1" x14ac:dyDescent="0.2">
      <c r="B475" s="120"/>
      <c r="C475" s="74"/>
      <c r="D475" s="74"/>
      <c r="E475" s="77"/>
      <c r="F475" s="68" t="s">
        <v>427</v>
      </c>
      <c r="G475" s="218">
        <v>0</v>
      </c>
      <c r="H475" s="78" t="s">
        <v>1</v>
      </c>
      <c r="I475" s="77"/>
      <c r="J475" s="105"/>
      <c r="K475" s="77"/>
      <c r="L475" s="80">
        <v>50</v>
      </c>
      <c r="M475" s="94"/>
      <c r="N475" s="91">
        <f>L475*M$474</f>
        <v>50</v>
      </c>
      <c r="O475" s="91">
        <f t="shared" ref="O475:O483" si="81">N475</f>
        <v>50</v>
      </c>
      <c r="P475" s="135">
        <f t="shared" ref="P475:P483" si="82">G475*O475</f>
        <v>0</v>
      </c>
    </row>
    <row r="476" spans="1:16" outlineLevel="1" x14ac:dyDescent="0.2">
      <c r="B476" s="120"/>
      <c r="C476" s="74"/>
      <c r="D476" s="74"/>
      <c r="E476" s="77"/>
      <c r="F476" s="68" t="s">
        <v>428</v>
      </c>
      <c r="G476" s="218">
        <v>0</v>
      </c>
      <c r="H476" s="78" t="s">
        <v>1</v>
      </c>
      <c r="I476" s="77"/>
      <c r="J476" s="105"/>
      <c r="K476" s="77"/>
      <c r="L476" s="80">
        <v>400</v>
      </c>
      <c r="M476" s="94"/>
      <c r="N476" s="91">
        <f t="shared" ref="N476:N483" si="83">L476*M$474</f>
        <v>400</v>
      </c>
      <c r="O476" s="91">
        <f t="shared" si="81"/>
        <v>400</v>
      </c>
      <c r="P476" s="135">
        <f t="shared" si="82"/>
        <v>0</v>
      </c>
    </row>
    <row r="477" spans="1:16" outlineLevel="1" x14ac:dyDescent="0.2">
      <c r="B477" s="120"/>
      <c r="C477" s="74"/>
      <c r="D477" s="74"/>
      <c r="E477" s="77"/>
      <c r="F477" s="68" t="s">
        <v>430</v>
      </c>
      <c r="G477" s="218">
        <v>0</v>
      </c>
      <c r="H477" s="78" t="s">
        <v>1</v>
      </c>
      <c r="I477" s="77"/>
      <c r="J477" s="105"/>
      <c r="K477" s="77"/>
      <c r="L477" s="80">
        <f t="shared" ref="L477:L482" si="84">0.2*L488</f>
        <v>5714.2857142857147</v>
      </c>
      <c r="M477" s="94"/>
      <c r="N477" s="91">
        <f t="shared" si="83"/>
        <v>5714.2857142857147</v>
      </c>
      <c r="O477" s="91">
        <f t="shared" si="81"/>
        <v>5714.2857142857147</v>
      </c>
      <c r="P477" s="135">
        <f t="shared" si="82"/>
        <v>0</v>
      </c>
    </row>
    <row r="478" spans="1:16" outlineLevel="1" x14ac:dyDescent="0.2">
      <c r="B478" s="120"/>
      <c r="C478" s="74"/>
      <c r="D478" s="74"/>
      <c r="E478" s="77"/>
      <c r="F478" s="68" t="s">
        <v>431</v>
      </c>
      <c r="G478" s="218">
        <v>0</v>
      </c>
      <c r="H478" s="78" t="s">
        <v>1</v>
      </c>
      <c r="I478" s="77"/>
      <c r="J478" s="105"/>
      <c r="K478" s="77"/>
      <c r="L478" s="80">
        <f t="shared" si="84"/>
        <v>39.327731092436977</v>
      </c>
      <c r="M478" s="94"/>
      <c r="N478" s="91">
        <f t="shared" si="83"/>
        <v>39.327731092436977</v>
      </c>
      <c r="O478" s="91">
        <f t="shared" si="81"/>
        <v>39.327731092436977</v>
      </c>
      <c r="P478" s="135">
        <f t="shared" si="82"/>
        <v>0</v>
      </c>
    </row>
    <row r="479" spans="1:16" outlineLevel="1" x14ac:dyDescent="0.2">
      <c r="B479" s="120"/>
      <c r="C479" s="74"/>
      <c r="D479" s="74"/>
      <c r="E479" s="77"/>
      <c r="F479" s="68" t="s">
        <v>432</v>
      </c>
      <c r="G479" s="218">
        <v>0</v>
      </c>
      <c r="H479" s="78" t="s">
        <v>1</v>
      </c>
      <c r="I479" s="77"/>
      <c r="J479" s="105"/>
      <c r="K479" s="77"/>
      <c r="L479" s="80">
        <f t="shared" si="84"/>
        <v>895.4621848739497</v>
      </c>
      <c r="M479" s="94"/>
      <c r="N479" s="91">
        <f t="shared" si="83"/>
        <v>895.4621848739497</v>
      </c>
      <c r="O479" s="91">
        <f t="shared" si="81"/>
        <v>895.4621848739497</v>
      </c>
      <c r="P479" s="135">
        <f t="shared" si="82"/>
        <v>0</v>
      </c>
    </row>
    <row r="480" spans="1:16" outlineLevel="1" x14ac:dyDescent="0.2">
      <c r="B480" s="120"/>
      <c r="C480" s="74"/>
      <c r="D480" s="74"/>
      <c r="E480" s="77"/>
      <c r="F480" s="68" t="s">
        <v>433</v>
      </c>
      <c r="G480" s="218">
        <v>0</v>
      </c>
      <c r="H480" s="78" t="s">
        <v>1</v>
      </c>
      <c r="I480" s="77"/>
      <c r="J480" s="105"/>
      <c r="K480" s="77"/>
      <c r="L480" s="80">
        <f t="shared" si="84"/>
        <v>400</v>
      </c>
      <c r="M480" s="94"/>
      <c r="N480" s="91">
        <f t="shared" si="83"/>
        <v>400</v>
      </c>
      <c r="O480" s="91">
        <f t="shared" si="81"/>
        <v>400</v>
      </c>
      <c r="P480" s="135">
        <f t="shared" si="82"/>
        <v>0</v>
      </c>
    </row>
    <row r="481" spans="1:16" outlineLevel="1" x14ac:dyDescent="0.2">
      <c r="B481" s="120"/>
      <c r="C481" s="74"/>
      <c r="D481" s="74"/>
      <c r="E481" s="77"/>
      <c r="F481" s="68" t="s">
        <v>434</v>
      </c>
      <c r="G481" s="218">
        <v>0</v>
      </c>
      <c r="H481" s="78" t="s">
        <v>1</v>
      </c>
      <c r="I481" s="77"/>
      <c r="J481" s="105"/>
      <c r="K481" s="77"/>
      <c r="L481" s="80">
        <f t="shared" si="84"/>
        <v>1764.7058823529414</v>
      </c>
      <c r="M481" s="94"/>
      <c r="N481" s="91">
        <f t="shared" si="83"/>
        <v>1764.7058823529414</v>
      </c>
      <c r="O481" s="91">
        <f t="shared" si="81"/>
        <v>1764.7058823529414</v>
      </c>
      <c r="P481" s="135">
        <f t="shared" si="82"/>
        <v>0</v>
      </c>
    </row>
    <row r="482" spans="1:16" outlineLevel="1" x14ac:dyDescent="0.2">
      <c r="B482" s="120"/>
      <c r="C482" s="74"/>
      <c r="D482" s="74"/>
      <c r="E482" s="77"/>
      <c r="F482" s="68" t="s">
        <v>435</v>
      </c>
      <c r="G482" s="218">
        <v>0</v>
      </c>
      <c r="H482" s="78" t="s">
        <v>1</v>
      </c>
      <c r="I482" s="77"/>
      <c r="J482" s="105"/>
      <c r="K482" s="77"/>
      <c r="L482" s="80">
        <f t="shared" si="84"/>
        <v>500</v>
      </c>
      <c r="M482" s="94"/>
      <c r="N482" s="91">
        <f t="shared" si="83"/>
        <v>500</v>
      </c>
      <c r="O482" s="91">
        <f t="shared" si="81"/>
        <v>500</v>
      </c>
      <c r="P482" s="135">
        <f t="shared" si="82"/>
        <v>0</v>
      </c>
    </row>
    <row r="483" spans="1:16" outlineLevel="1" x14ac:dyDescent="0.2">
      <c r="B483" s="120"/>
      <c r="C483" s="74"/>
      <c r="D483" s="74"/>
      <c r="E483" s="77"/>
      <c r="F483" s="68" t="s">
        <v>436</v>
      </c>
      <c r="G483" s="218">
        <v>0</v>
      </c>
      <c r="H483" s="78" t="s">
        <v>1</v>
      </c>
      <c r="I483" s="77"/>
      <c r="J483" s="105"/>
      <c r="K483" s="77"/>
      <c r="L483" s="80">
        <f>0.2*L495</f>
        <v>2137.8504201680676</v>
      </c>
      <c r="M483" s="94"/>
      <c r="N483" s="91">
        <f t="shared" si="83"/>
        <v>2137.8504201680676</v>
      </c>
      <c r="O483" s="91">
        <f t="shared" si="81"/>
        <v>2137.8504201680676</v>
      </c>
      <c r="P483" s="135">
        <f t="shared" si="82"/>
        <v>0</v>
      </c>
    </row>
    <row r="484" spans="1:16" s="153" customFormat="1" ht="15" x14ac:dyDescent="0.35">
      <c r="A484" s="172"/>
      <c r="B484" s="145"/>
      <c r="C484" s="106" t="s">
        <v>111</v>
      </c>
      <c r="D484" s="106"/>
      <c r="E484" s="111"/>
      <c r="F484" s="106"/>
      <c r="G484" s="112"/>
      <c r="H484" s="113"/>
      <c r="I484" s="175"/>
      <c r="J484" s="175"/>
      <c r="K484" s="111"/>
      <c r="L484" s="110"/>
      <c r="M484" s="170"/>
      <c r="N484" s="111"/>
      <c r="O484" s="111"/>
      <c r="P484" s="136">
        <f>P485+P497+P498</f>
        <v>0</v>
      </c>
    </row>
    <row r="485" spans="1:16" s="153" customFormat="1" ht="15" x14ac:dyDescent="0.35">
      <c r="A485" s="172"/>
      <c r="B485" s="145"/>
      <c r="C485" s="74"/>
      <c r="D485" s="74"/>
      <c r="E485" s="107" t="s">
        <v>514</v>
      </c>
      <c r="F485" s="107"/>
      <c r="G485" s="146"/>
      <c r="H485" s="147"/>
      <c r="I485" s="177"/>
      <c r="J485" s="177"/>
      <c r="K485" s="149"/>
      <c r="L485" s="165"/>
      <c r="M485" s="151">
        <v>1</v>
      </c>
      <c r="N485" s="149"/>
      <c r="O485" s="149"/>
      <c r="P485" s="178">
        <f>SUM(P486:P496)</f>
        <v>0</v>
      </c>
    </row>
    <row r="486" spans="1:16" outlineLevel="1" x14ac:dyDescent="0.2">
      <c r="B486" s="120"/>
      <c r="C486" s="74"/>
      <c r="D486" s="68"/>
      <c r="E486" s="77"/>
      <c r="F486" s="68" t="s">
        <v>306</v>
      </c>
      <c r="G486" s="212">
        <v>0</v>
      </c>
      <c r="H486" s="78" t="s">
        <v>1</v>
      </c>
      <c r="I486" s="71"/>
      <c r="J486" s="89"/>
      <c r="K486" s="71" t="s">
        <v>307</v>
      </c>
      <c r="L486" s="80">
        <f>119.96/1.19</f>
        <v>100.80672268907563</v>
      </c>
      <c r="M486" s="94"/>
      <c r="N486" s="91">
        <f>L486*M$485</f>
        <v>100.80672268907563</v>
      </c>
      <c r="O486" s="91">
        <f t="shared" ref="O486:O496" si="85">N486</f>
        <v>100.80672268907563</v>
      </c>
      <c r="P486" s="135">
        <f t="shared" ref="P486:P496" si="86">G486*O486</f>
        <v>0</v>
      </c>
    </row>
    <row r="487" spans="1:16" outlineLevel="1" x14ac:dyDescent="0.2">
      <c r="B487" s="120"/>
      <c r="C487" s="74"/>
      <c r="D487" s="68"/>
      <c r="E487" s="77"/>
      <c r="F487" s="68" t="s">
        <v>308</v>
      </c>
      <c r="G487" s="212">
        <v>0</v>
      </c>
      <c r="H487" s="78" t="s">
        <v>1</v>
      </c>
      <c r="I487" s="71"/>
      <c r="J487" s="89"/>
      <c r="K487" s="71" t="s">
        <v>309</v>
      </c>
      <c r="L487" s="80">
        <f>2000/1.19</f>
        <v>1680.6722689075632</v>
      </c>
      <c r="M487" s="94"/>
      <c r="N487" s="91">
        <f t="shared" ref="N487:N496" si="87">L487*M$485</f>
        <v>1680.6722689075632</v>
      </c>
      <c r="O487" s="91">
        <f t="shared" si="85"/>
        <v>1680.6722689075632</v>
      </c>
      <c r="P487" s="135">
        <f t="shared" si="86"/>
        <v>0</v>
      </c>
    </row>
    <row r="488" spans="1:16" outlineLevel="1" x14ac:dyDescent="0.2">
      <c r="B488" s="120"/>
      <c r="C488" s="68"/>
      <c r="D488" s="68"/>
      <c r="E488" s="77"/>
      <c r="F488" s="68" t="s">
        <v>331</v>
      </c>
      <c r="G488" s="212">
        <v>0</v>
      </c>
      <c r="H488" s="78" t="s">
        <v>1</v>
      </c>
      <c r="I488" s="71"/>
      <c r="J488" s="89"/>
      <c r="K488" s="71" t="s">
        <v>332</v>
      </c>
      <c r="L488" s="80">
        <f>34000/1.19</f>
        <v>28571.428571428572</v>
      </c>
      <c r="M488" s="94"/>
      <c r="N488" s="91">
        <f t="shared" si="87"/>
        <v>28571.428571428572</v>
      </c>
      <c r="O488" s="91">
        <f t="shared" si="85"/>
        <v>28571.428571428572</v>
      </c>
      <c r="P488" s="135">
        <f t="shared" si="86"/>
        <v>0</v>
      </c>
    </row>
    <row r="489" spans="1:16" outlineLevel="1" x14ac:dyDescent="0.2">
      <c r="B489" s="120"/>
      <c r="C489" s="68"/>
      <c r="D489" s="68"/>
      <c r="E489" s="77"/>
      <c r="F489" s="68" t="s">
        <v>333</v>
      </c>
      <c r="G489" s="212">
        <v>0</v>
      </c>
      <c r="H489" s="78" t="s">
        <v>1</v>
      </c>
      <c r="I489" s="71"/>
      <c r="J489" s="89"/>
      <c r="K489" s="71" t="s">
        <v>334</v>
      </c>
      <c r="L489" s="80">
        <f>234/1.19</f>
        <v>196.63865546218489</v>
      </c>
      <c r="M489" s="94"/>
      <c r="N489" s="91">
        <f t="shared" si="87"/>
        <v>196.63865546218489</v>
      </c>
      <c r="O489" s="91">
        <f t="shared" si="85"/>
        <v>196.63865546218489</v>
      </c>
      <c r="P489" s="135">
        <f t="shared" si="86"/>
        <v>0</v>
      </c>
    </row>
    <row r="490" spans="1:16" outlineLevel="1" x14ac:dyDescent="0.2">
      <c r="B490" s="120"/>
      <c r="C490" s="68"/>
      <c r="D490" s="68"/>
      <c r="E490" s="77"/>
      <c r="F490" s="68" t="s">
        <v>335</v>
      </c>
      <c r="G490" s="212">
        <v>0</v>
      </c>
      <c r="H490" s="78" t="s">
        <v>1</v>
      </c>
      <c r="I490" s="71"/>
      <c r="J490" s="89"/>
      <c r="K490" s="71" t="s">
        <v>336</v>
      </c>
      <c r="L490" s="80">
        <f>5328/1.19</f>
        <v>4477.3109243697481</v>
      </c>
      <c r="M490" s="94"/>
      <c r="N490" s="91">
        <f t="shared" si="87"/>
        <v>4477.3109243697481</v>
      </c>
      <c r="O490" s="91">
        <f t="shared" si="85"/>
        <v>4477.3109243697481</v>
      </c>
      <c r="P490" s="135">
        <f t="shared" si="86"/>
        <v>0</v>
      </c>
    </row>
    <row r="491" spans="1:16" outlineLevel="1" x14ac:dyDescent="0.2">
      <c r="B491" s="120"/>
      <c r="C491" s="68"/>
      <c r="D491" s="68"/>
      <c r="E491" s="77"/>
      <c r="F491" s="68" t="s">
        <v>337</v>
      </c>
      <c r="G491" s="212">
        <v>0</v>
      </c>
      <c r="H491" s="78" t="s">
        <v>1</v>
      </c>
      <c r="I491" s="71"/>
      <c r="J491" s="89"/>
      <c r="K491" s="71"/>
      <c r="L491" s="80">
        <v>2000</v>
      </c>
      <c r="M491" s="94"/>
      <c r="N491" s="91">
        <f t="shared" si="87"/>
        <v>2000</v>
      </c>
      <c r="O491" s="91">
        <f t="shared" si="85"/>
        <v>2000</v>
      </c>
      <c r="P491" s="135">
        <f t="shared" si="86"/>
        <v>0</v>
      </c>
    </row>
    <row r="492" spans="1:16" outlineLevel="1" x14ac:dyDescent="0.2">
      <c r="B492" s="120"/>
      <c r="C492" s="68"/>
      <c r="D492" s="68"/>
      <c r="E492" s="77"/>
      <c r="F492" s="68" t="s">
        <v>338</v>
      </c>
      <c r="G492" s="212">
        <v>0</v>
      </c>
      <c r="H492" s="78" t="s">
        <v>1</v>
      </c>
      <c r="I492" s="71"/>
      <c r="J492" s="89"/>
      <c r="K492" s="71" t="s">
        <v>339</v>
      </c>
      <c r="L492" s="80">
        <f>10500/1.19</f>
        <v>8823.5294117647063</v>
      </c>
      <c r="M492" s="94"/>
      <c r="N492" s="91">
        <f t="shared" si="87"/>
        <v>8823.5294117647063</v>
      </c>
      <c r="O492" s="91">
        <f t="shared" si="85"/>
        <v>8823.5294117647063</v>
      </c>
      <c r="P492" s="135">
        <f t="shared" si="86"/>
        <v>0</v>
      </c>
    </row>
    <row r="493" spans="1:16" outlineLevel="1" x14ac:dyDescent="0.2">
      <c r="B493" s="120"/>
      <c r="C493" s="68"/>
      <c r="D493" s="68"/>
      <c r="E493" s="77"/>
      <c r="F493" s="68" t="s">
        <v>340</v>
      </c>
      <c r="G493" s="212">
        <v>0</v>
      </c>
      <c r="H493" s="78" t="s">
        <v>1</v>
      </c>
      <c r="I493" s="71"/>
      <c r="J493" s="89"/>
      <c r="K493" s="71"/>
      <c r="L493" s="80">
        <v>2500</v>
      </c>
      <c r="M493" s="94"/>
      <c r="N493" s="91">
        <f t="shared" si="87"/>
        <v>2500</v>
      </c>
      <c r="O493" s="91">
        <f t="shared" si="85"/>
        <v>2500</v>
      </c>
      <c r="P493" s="135">
        <f t="shared" si="86"/>
        <v>0</v>
      </c>
    </row>
    <row r="494" spans="1:16" outlineLevel="1" x14ac:dyDescent="0.2">
      <c r="B494" s="120"/>
      <c r="C494" s="68"/>
      <c r="D494" s="68"/>
      <c r="E494" s="77"/>
      <c r="F494" s="68" t="s">
        <v>341</v>
      </c>
      <c r="G494" s="212">
        <v>0</v>
      </c>
      <c r="H494" s="78" t="s">
        <v>1</v>
      </c>
      <c r="I494" s="71"/>
      <c r="J494" s="89"/>
      <c r="K494" s="71"/>
      <c r="L494" s="80">
        <v>1250</v>
      </c>
      <c r="M494" s="94"/>
      <c r="N494" s="91">
        <f t="shared" si="87"/>
        <v>1250</v>
      </c>
      <c r="O494" s="91">
        <f t="shared" si="85"/>
        <v>1250</v>
      </c>
      <c r="P494" s="135">
        <f t="shared" si="86"/>
        <v>0</v>
      </c>
    </row>
    <row r="495" spans="1:16" outlineLevel="1" x14ac:dyDescent="0.2">
      <c r="B495" s="120"/>
      <c r="C495" s="68"/>
      <c r="D495" s="68"/>
      <c r="E495" s="77"/>
      <c r="F495" s="68" t="s">
        <v>342</v>
      </c>
      <c r="G495" s="212">
        <v>0</v>
      </c>
      <c r="H495" s="78" t="s">
        <v>1</v>
      </c>
      <c r="I495" s="71"/>
      <c r="J495" s="89"/>
      <c r="K495" s="71" t="s">
        <v>343</v>
      </c>
      <c r="L495" s="80">
        <f>12720.21/1.19</f>
        <v>10689.252100840336</v>
      </c>
      <c r="M495" s="94"/>
      <c r="N495" s="91">
        <f t="shared" si="87"/>
        <v>10689.252100840336</v>
      </c>
      <c r="O495" s="91">
        <f t="shared" si="85"/>
        <v>10689.252100840336</v>
      </c>
      <c r="P495" s="135">
        <f t="shared" si="86"/>
        <v>0</v>
      </c>
    </row>
    <row r="496" spans="1:16" outlineLevel="1" x14ac:dyDescent="0.2">
      <c r="B496" s="120"/>
      <c r="C496" s="68"/>
      <c r="D496" s="68"/>
      <c r="E496" s="77"/>
      <c r="F496" s="68" t="s">
        <v>333</v>
      </c>
      <c r="G496" s="212">
        <v>0</v>
      </c>
      <c r="H496" s="78" t="s">
        <v>1</v>
      </c>
      <c r="I496" s="71"/>
      <c r="J496" s="89" t="s">
        <v>498</v>
      </c>
      <c r="K496" s="71" t="s">
        <v>334</v>
      </c>
      <c r="L496" s="80">
        <f>L489</f>
        <v>196.63865546218489</v>
      </c>
      <c r="M496" s="94"/>
      <c r="N496" s="91">
        <f t="shared" si="87"/>
        <v>196.63865546218489</v>
      </c>
      <c r="O496" s="91">
        <f t="shared" si="85"/>
        <v>196.63865546218489</v>
      </c>
      <c r="P496" s="135">
        <f t="shared" si="86"/>
        <v>0</v>
      </c>
    </row>
    <row r="497" spans="1:17" s="153" customFormat="1" ht="15" x14ac:dyDescent="0.35">
      <c r="A497" s="172"/>
      <c r="B497" s="145"/>
      <c r="C497" s="74"/>
      <c r="D497" s="74"/>
      <c r="E497" s="107" t="s">
        <v>515</v>
      </c>
      <c r="F497" s="107"/>
      <c r="G497" s="146"/>
      <c r="H497" s="147"/>
      <c r="I497" s="177"/>
      <c r="J497" s="177"/>
      <c r="K497" s="149"/>
      <c r="L497" s="165"/>
      <c r="M497" s="151">
        <v>1</v>
      </c>
      <c r="N497" s="149"/>
      <c r="O497" s="149"/>
      <c r="P497" s="178">
        <v>0</v>
      </c>
    </row>
    <row r="498" spans="1:17" s="153" customFormat="1" ht="15" x14ac:dyDescent="0.35">
      <c r="A498" s="172"/>
      <c r="B498" s="145"/>
      <c r="C498" s="74"/>
      <c r="D498" s="74"/>
      <c r="E498" s="107" t="s">
        <v>516</v>
      </c>
      <c r="F498" s="107"/>
      <c r="G498" s="146"/>
      <c r="H498" s="147"/>
      <c r="I498" s="177"/>
      <c r="J498" s="177"/>
      <c r="K498" s="149"/>
      <c r="L498" s="165"/>
      <c r="M498" s="151">
        <v>1</v>
      </c>
      <c r="N498" s="149"/>
      <c r="O498" s="149"/>
      <c r="P498" s="178">
        <f>SUM(P499:P501)</f>
        <v>0</v>
      </c>
    </row>
    <row r="499" spans="1:17" outlineLevel="1" x14ac:dyDescent="0.2">
      <c r="B499" s="120"/>
      <c r="C499" s="74"/>
      <c r="D499" s="68"/>
      <c r="E499" s="77"/>
      <c r="F499" s="68" t="s">
        <v>263</v>
      </c>
      <c r="G499" s="212">
        <v>0</v>
      </c>
      <c r="H499" s="78" t="s">
        <v>1</v>
      </c>
      <c r="I499" s="71"/>
      <c r="J499" s="89"/>
      <c r="K499" s="71" t="s">
        <v>264</v>
      </c>
      <c r="L499" s="80">
        <v>75</v>
      </c>
      <c r="M499" s="94"/>
      <c r="N499" s="91">
        <f>L499*M$498</f>
        <v>75</v>
      </c>
      <c r="O499" s="91">
        <f t="shared" ref="O499:O501" si="88">N499</f>
        <v>75</v>
      </c>
      <c r="P499" s="135">
        <f>G499*O499</f>
        <v>0</v>
      </c>
    </row>
    <row r="500" spans="1:17" outlineLevel="1" x14ac:dyDescent="0.2">
      <c r="B500" s="120"/>
      <c r="C500" s="74"/>
      <c r="D500" s="68"/>
      <c r="E500" s="77"/>
      <c r="F500" s="68" t="s">
        <v>265</v>
      </c>
      <c r="G500" s="212">
        <v>0</v>
      </c>
      <c r="H500" s="78" t="s">
        <v>1</v>
      </c>
      <c r="I500" s="71"/>
      <c r="J500" s="89"/>
      <c r="K500" s="71" t="s">
        <v>266</v>
      </c>
      <c r="L500" s="76">
        <f>26.87/1.19</f>
        <v>22.579831932773111</v>
      </c>
      <c r="M500" s="94"/>
      <c r="N500" s="91">
        <f t="shared" ref="N500:N501" si="89">L500*M$498</f>
        <v>22.579831932773111</v>
      </c>
      <c r="O500" s="91">
        <f t="shared" si="88"/>
        <v>22.579831932773111</v>
      </c>
      <c r="P500" s="135">
        <f>G500*O500</f>
        <v>0</v>
      </c>
    </row>
    <row r="501" spans="1:17" ht="13.5" outlineLevel="1" thickBot="1" x14ac:dyDescent="0.25">
      <c r="B501" s="137"/>
      <c r="C501" s="82"/>
      <c r="D501" s="83"/>
      <c r="E501" s="84"/>
      <c r="F501" s="83" t="s">
        <v>275</v>
      </c>
      <c r="G501" s="219">
        <v>0</v>
      </c>
      <c r="H501" s="96" t="s">
        <v>1</v>
      </c>
      <c r="I501" s="85"/>
      <c r="J501" s="183" t="s">
        <v>276</v>
      </c>
      <c r="K501" s="85" t="s">
        <v>277</v>
      </c>
      <c r="L501" s="138">
        <f>100</f>
        <v>100</v>
      </c>
      <c r="M501" s="139"/>
      <c r="N501" s="140">
        <f t="shared" si="89"/>
        <v>100</v>
      </c>
      <c r="O501" s="140">
        <f t="shared" si="88"/>
        <v>100</v>
      </c>
      <c r="P501" s="141">
        <f>G501*O501</f>
        <v>0</v>
      </c>
    </row>
    <row r="503" spans="1:17" x14ac:dyDescent="0.2">
      <c r="P503" s="119"/>
      <c r="Q503" s="182"/>
    </row>
    <row r="504" spans="1:17" x14ac:dyDescent="0.2">
      <c r="B504" s="27"/>
    </row>
    <row r="505" spans="1:17" x14ac:dyDescent="0.2">
      <c r="C505" s="26"/>
    </row>
    <row r="506" spans="1:17" x14ac:dyDescent="0.2">
      <c r="C506" s="26"/>
    </row>
    <row r="507" spans="1:17" x14ac:dyDescent="0.2">
      <c r="C507" s="26"/>
    </row>
    <row r="508" spans="1:17" x14ac:dyDescent="0.2">
      <c r="C508" s="26"/>
    </row>
    <row r="509" spans="1:17" x14ac:dyDescent="0.2">
      <c r="C509" s="26"/>
    </row>
    <row r="510" spans="1:17" x14ac:dyDescent="0.2">
      <c r="C510" s="26"/>
    </row>
    <row r="511" spans="1:17" x14ac:dyDescent="0.2">
      <c r="C511" s="26"/>
    </row>
    <row r="512" spans="1:17" x14ac:dyDescent="0.2">
      <c r="C512" s="26"/>
    </row>
    <row r="513" spans="3:3" x14ac:dyDescent="0.2">
      <c r="C513" s="26"/>
    </row>
    <row r="514" spans="3:3" x14ac:dyDescent="0.2">
      <c r="C514" s="26"/>
    </row>
    <row r="515" spans="3:3" x14ac:dyDescent="0.2">
      <c r="C515" s="26"/>
    </row>
  </sheetData>
  <autoFilter ref="B6:P501"/>
  <mergeCells count="3">
    <mergeCell ref="B4:F4"/>
    <mergeCell ref="B2:P2"/>
    <mergeCell ref="Q2:Q5"/>
  </mergeCells>
  <hyperlinks>
    <hyperlink ref="K191" r:id="rId1"/>
    <hyperlink ref="K252" r:id="rId2"/>
    <hyperlink ref="K230" r:id="rId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R202"/>
  <sheetViews>
    <sheetView tabSelected="1" view="pageBreakPreview" zoomScale="78" zoomScaleNormal="60" zoomScaleSheetLayoutView="78" workbookViewId="0">
      <pane xSplit="6" ySplit="10" topLeftCell="G11" activePane="bottomRight" state="frozen"/>
      <selection activeCell="J12" sqref="J12"/>
      <selection pane="topRight" activeCell="J12" sqref="J12"/>
      <selection pane="bottomLeft" activeCell="J12" sqref="J12"/>
      <selection pane="bottomRight" activeCell="B5" sqref="B5:I5"/>
    </sheetView>
  </sheetViews>
  <sheetFormatPr defaultRowHeight="18" outlineLevelRow="1" x14ac:dyDescent="0.25"/>
  <cols>
    <col min="1" max="1" width="5.140625" style="682" customWidth="1"/>
    <col min="2" max="2" width="13.140625" style="706" customWidth="1"/>
    <col min="3" max="3" width="9.140625" style="682"/>
    <col min="4" max="4" width="12.28515625" style="682" customWidth="1"/>
    <col min="5" max="5" width="16.140625" style="682" customWidth="1"/>
    <col min="6" max="6" width="56.85546875" style="682" customWidth="1"/>
    <col min="7" max="7" width="20.42578125" style="2" customWidth="1"/>
    <col min="8" max="9" width="19.28515625" style="2" customWidth="1"/>
    <col min="10" max="10" width="6.28515625" style="720" customWidth="1"/>
    <col min="11" max="11" width="27.140625" style="684" customWidth="1"/>
    <col min="12" max="12" width="10.5703125" style="685" bestFit="1" customWidth="1"/>
    <col min="13" max="13" width="9.140625" style="682"/>
    <col min="14" max="14" width="12.85546875" style="682" bestFit="1" customWidth="1"/>
    <col min="15" max="246" width="9.140625" style="682"/>
    <col min="247" max="247" width="21.42578125" style="682" customWidth="1"/>
    <col min="248" max="248" width="10.7109375" style="682" customWidth="1"/>
    <col min="249" max="250" width="9.85546875" style="682" bestFit="1" customWidth="1"/>
    <col min="251" max="251" width="9.28515625" style="682" bestFit="1" customWidth="1"/>
    <col min="252" max="252" width="10.140625" style="682" customWidth="1"/>
    <col min="253" max="253" width="10.85546875" style="682" bestFit="1" customWidth="1"/>
    <col min="254" max="254" width="10.7109375" style="682" customWidth="1"/>
    <col min="255" max="255" width="11.28515625" style="682" bestFit="1" customWidth="1"/>
    <col min="256" max="256" width="10.85546875" style="682" bestFit="1" customWidth="1"/>
    <col min="257" max="257" width="9.85546875" style="682" bestFit="1" customWidth="1"/>
    <col min="258" max="258" width="10.85546875" style="682" customWidth="1"/>
    <col min="259" max="259" width="10.140625" style="682" customWidth="1"/>
    <col min="260" max="260" width="11.5703125" style="682" customWidth="1"/>
    <col min="261" max="261" width="11.28515625" style="682" bestFit="1" customWidth="1"/>
    <col min="262" max="262" width="9.5703125" style="682" customWidth="1"/>
    <col min="263" max="263" width="9.7109375" style="682" bestFit="1" customWidth="1"/>
    <col min="264" max="264" width="10.7109375" style="682" customWidth="1"/>
    <col min="265" max="265" width="11" style="682" customWidth="1"/>
    <col min="266" max="502" width="9.140625" style="682"/>
    <col min="503" max="503" width="21.42578125" style="682" customWidth="1"/>
    <col min="504" max="504" width="10.7109375" style="682" customWidth="1"/>
    <col min="505" max="506" width="9.85546875" style="682" bestFit="1" customWidth="1"/>
    <col min="507" max="507" width="9.28515625" style="682" bestFit="1" customWidth="1"/>
    <col min="508" max="508" width="10.140625" style="682" customWidth="1"/>
    <col min="509" max="509" width="10.85546875" style="682" bestFit="1" customWidth="1"/>
    <col min="510" max="510" width="10.7109375" style="682" customWidth="1"/>
    <col min="511" max="511" width="11.28515625" style="682" bestFit="1" customWidth="1"/>
    <col min="512" max="512" width="10.85546875" style="682" bestFit="1" customWidth="1"/>
    <col min="513" max="513" width="9.85546875" style="682" bestFit="1" customWidth="1"/>
    <col min="514" max="514" width="10.85546875" style="682" customWidth="1"/>
    <col min="515" max="515" width="10.140625" style="682" customWidth="1"/>
    <col min="516" max="516" width="11.5703125" style="682" customWidth="1"/>
    <col min="517" max="517" width="11.28515625" style="682" bestFit="1" customWidth="1"/>
    <col min="518" max="518" width="9.5703125" style="682" customWidth="1"/>
    <col min="519" max="519" width="9.7109375" style="682" bestFit="1" customWidth="1"/>
    <col min="520" max="520" width="10.7109375" style="682" customWidth="1"/>
    <col min="521" max="521" width="11" style="682" customWidth="1"/>
    <col min="522" max="758" width="9.140625" style="682"/>
    <col min="759" max="759" width="21.42578125" style="682" customWidth="1"/>
    <col min="760" max="760" width="10.7109375" style="682" customWidth="1"/>
    <col min="761" max="762" width="9.85546875" style="682" bestFit="1" customWidth="1"/>
    <col min="763" max="763" width="9.28515625" style="682" bestFit="1" customWidth="1"/>
    <col min="764" max="764" width="10.140625" style="682" customWidth="1"/>
    <col min="765" max="765" width="10.85546875" style="682" bestFit="1" customWidth="1"/>
    <col min="766" max="766" width="10.7109375" style="682" customWidth="1"/>
    <col min="767" max="767" width="11.28515625" style="682" bestFit="1" customWidth="1"/>
    <col min="768" max="768" width="10.85546875" style="682" bestFit="1" customWidth="1"/>
    <col min="769" max="769" width="9.85546875" style="682" bestFit="1" customWidth="1"/>
    <col min="770" max="770" width="10.85546875" style="682" customWidth="1"/>
    <col min="771" max="771" width="10.140625" style="682" customWidth="1"/>
    <col min="772" max="772" width="11.5703125" style="682" customWidth="1"/>
    <col min="773" max="773" width="11.28515625" style="682" bestFit="1" customWidth="1"/>
    <col min="774" max="774" width="9.5703125" style="682" customWidth="1"/>
    <col min="775" max="775" width="9.7109375" style="682" bestFit="1" customWidth="1"/>
    <col min="776" max="776" width="10.7109375" style="682" customWidth="1"/>
    <col min="777" max="777" width="11" style="682" customWidth="1"/>
    <col min="778" max="1014" width="9.140625" style="682"/>
    <col min="1015" max="1015" width="21.42578125" style="682" customWidth="1"/>
    <col min="1016" max="1016" width="10.7109375" style="682" customWidth="1"/>
    <col min="1017" max="1018" width="9.85546875" style="682" bestFit="1" customWidth="1"/>
    <col min="1019" max="1019" width="9.28515625" style="682" bestFit="1" customWidth="1"/>
    <col min="1020" max="1020" width="10.140625" style="682" customWidth="1"/>
    <col min="1021" max="1021" width="10.85546875" style="682" bestFit="1" customWidth="1"/>
    <col min="1022" max="1022" width="10.7109375" style="682" customWidth="1"/>
    <col min="1023" max="1023" width="11.28515625" style="682" bestFit="1" customWidth="1"/>
    <col min="1024" max="1024" width="10.85546875" style="682" bestFit="1" customWidth="1"/>
    <col min="1025" max="1025" width="9.85546875" style="682" bestFit="1" customWidth="1"/>
    <col min="1026" max="1026" width="10.85546875" style="682" customWidth="1"/>
    <col min="1027" max="1027" width="10.140625" style="682" customWidth="1"/>
    <col min="1028" max="1028" width="11.5703125" style="682" customWidth="1"/>
    <col min="1029" max="1029" width="11.28515625" style="682" bestFit="1" customWidth="1"/>
    <col min="1030" max="1030" width="9.5703125" style="682" customWidth="1"/>
    <col min="1031" max="1031" width="9.7109375" style="682" bestFit="1" customWidth="1"/>
    <col min="1032" max="1032" width="10.7109375" style="682" customWidth="1"/>
    <col min="1033" max="1033" width="11" style="682" customWidth="1"/>
    <col min="1034" max="1270" width="9.140625" style="682"/>
    <col min="1271" max="1271" width="21.42578125" style="682" customWidth="1"/>
    <col min="1272" max="1272" width="10.7109375" style="682" customWidth="1"/>
    <col min="1273" max="1274" width="9.85546875" style="682" bestFit="1" customWidth="1"/>
    <col min="1275" max="1275" width="9.28515625" style="682" bestFit="1" customWidth="1"/>
    <col min="1276" max="1276" width="10.140625" style="682" customWidth="1"/>
    <col min="1277" max="1277" width="10.85546875" style="682" bestFit="1" customWidth="1"/>
    <col min="1278" max="1278" width="10.7109375" style="682" customWidth="1"/>
    <col min="1279" max="1279" width="11.28515625" style="682" bestFit="1" customWidth="1"/>
    <col min="1280" max="1280" width="10.85546875" style="682" bestFit="1" customWidth="1"/>
    <col min="1281" max="1281" width="9.85546875" style="682" bestFit="1" customWidth="1"/>
    <col min="1282" max="1282" width="10.85546875" style="682" customWidth="1"/>
    <col min="1283" max="1283" width="10.140625" style="682" customWidth="1"/>
    <col min="1284" max="1284" width="11.5703125" style="682" customWidth="1"/>
    <col min="1285" max="1285" width="11.28515625" style="682" bestFit="1" customWidth="1"/>
    <col min="1286" max="1286" width="9.5703125" style="682" customWidth="1"/>
    <col min="1287" max="1287" width="9.7109375" style="682" bestFit="1" customWidth="1"/>
    <col min="1288" max="1288" width="10.7109375" style="682" customWidth="1"/>
    <col min="1289" max="1289" width="11" style="682" customWidth="1"/>
    <col min="1290" max="1526" width="9.140625" style="682"/>
    <col min="1527" max="1527" width="21.42578125" style="682" customWidth="1"/>
    <col min="1528" max="1528" width="10.7109375" style="682" customWidth="1"/>
    <col min="1529" max="1530" width="9.85546875" style="682" bestFit="1" customWidth="1"/>
    <col min="1531" max="1531" width="9.28515625" style="682" bestFit="1" customWidth="1"/>
    <col min="1532" max="1532" width="10.140625" style="682" customWidth="1"/>
    <col min="1533" max="1533" width="10.85546875" style="682" bestFit="1" customWidth="1"/>
    <col min="1534" max="1534" width="10.7109375" style="682" customWidth="1"/>
    <col min="1535" max="1535" width="11.28515625" style="682" bestFit="1" customWidth="1"/>
    <col min="1536" max="1536" width="10.85546875" style="682" bestFit="1" customWidth="1"/>
    <col min="1537" max="1537" width="9.85546875" style="682" bestFit="1" customWidth="1"/>
    <col min="1538" max="1538" width="10.85546875" style="682" customWidth="1"/>
    <col min="1539" max="1539" width="10.140625" style="682" customWidth="1"/>
    <col min="1540" max="1540" width="11.5703125" style="682" customWidth="1"/>
    <col min="1541" max="1541" width="11.28515625" style="682" bestFit="1" customWidth="1"/>
    <col min="1542" max="1542" width="9.5703125" style="682" customWidth="1"/>
    <col min="1543" max="1543" width="9.7109375" style="682" bestFit="1" customWidth="1"/>
    <col min="1544" max="1544" width="10.7109375" style="682" customWidth="1"/>
    <col min="1545" max="1545" width="11" style="682" customWidth="1"/>
    <col min="1546" max="1782" width="9.140625" style="682"/>
    <col min="1783" max="1783" width="21.42578125" style="682" customWidth="1"/>
    <col min="1784" max="1784" width="10.7109375" style="682" customWidth="1"/>
    <col min="1785" max="1786" width="9.85546875" style="682" bestFit="1" customWidth="1"/>
    <col min="1787" max="1787" width="9.28515625" style="682" bestFit="1" customWidth="1"/>
    <col min="1788" max="1788" width="10.140625" style="682" customWidth="1"/>
    <col min="1789" max="1789" width="10.85546875" style="682" bestFit="1" customWidth="1"/>
    <col min="1790" max="1790" width="10.7109375" style="682" customWidth="1"/>
    <col min="1791" max="1791" width="11.28515625" style="682" bestFit="1" customWidth="1"/>
    <col min="1792" max="1792" width="10.85546875" style="682" bestFit="1" customWidth="1"/>
    <col min="1793" max="1793" width="9.85546875" style="682" bestFit="1" customWidth="1"/>
    <col min="1794" max="1794" width="10.85546875" style="682" customWidth="1"/>
    <col min="1795" max="1795" width="10.140625" style="682" customWidth="1"/>
    <col min="1796" max="1796" width="11.5703125" style="682" customWidth="1"/>
    <col min="1797" max="1797" width="11.28515625" style="682" bestFit="1" customWidth="1"/>
    <col min="1798" max="1798" width="9.5703125" style="682" customWidth="1"/>
    <col min="1799" max="1799" width="9.7109375" style="682" bestFit="1" customWidth="1"/>
    <col min="1800" max="1800" width="10.7109375" style="682" customWidth="1"/>
    <col min="1801" max="1801" width="11" style="682" customWidth="1"/>
    <col min="1802" max="2038" width="9.140625" style="682"/>
    <col min="2039" max="2039" width="21.42578125" style="682" customWidth="1"/>
    <col min="2040" max="2040" width="10.7109375" style="682" customWidth="1"/>
    <col min="2041" max="2042" width="9.85546875" style="682" bestFit="1" customWidth="1"/>
    <col min="2043" max="2043" width="9.28515625" style="682" bestFit="1" customWidth="1"/>
    <col min="2044" max="2044" width="10.140625" style="682" customWidth="1"/>
    <col min="2045" max="2045" width="10.85546875" style="682" bestFit="1" customWidth="1"/>
    <col min="2046" max="2046" width="10.7109375" style="682" customWidth="1"/>
    <col min="2047" max="2047" width="11.28515625" style="682" bestFit="1" customWidth="1"/>
    <col min="2048" max="2048" width="10.85546875" style="682" bestFit="1" customWidth="1"/>
    <col min="2049" max="2049" width="9.85546875" style="682" bestFit="1" customWidth="1"/>
    <col min="2050" max="2050" width="10.85546875" style="682" customWidth="1"/>
    <col min="2051" max="2051" width="10.140625" style="682" customWidth="1"/>
    <col min="2052" max="2052" width="11.5703125" style="682" customWidth="1"/>
    <col min="2053" max="2053" width="11.28515625" style="682" bestFit="1" customWidth="1"/>
    <col min="2054" max="2054" width="9.5703125" style="682" customWidth="1"/>
    <col min="2055" max="2055" width="9.7109375" style="682" bestFit="1" customWidth="1"/>
    <col min="2056" max="2056" width="10.7109375" style="682" customWidth="1"/>
    <col min="2057" max="2057" width="11" style="682" customWidth="1"/>
    <col min="2058" max="2294" width="9.140625" style="682"/>
    <col min="2295" max="2295" width="21.42578125" style="682" customWidth="1"/>
    <col min="2296" max="2296" width="10.7109375" style="682" customWidth="1"/>
    <col min="2297" max="2298" width="9.85546875" style="682" bestFit="1" customWidth="1"/>
    <col min="2299" max="2299" width="9.28515625" style="682" bestFit="1" customWidth="1"/>
    <col min="2300" max="2300" width="10.140625" style="682" customWidth="1"/>
    <col min="2301" max="2301" width="10.85546875" style="682" bestFit="1" customWidth="1"/>
    <col min="2302" max="2302" width="10.7109375" style="682" customWidth="1"/>
    <col min="2303" max="2303" width="11.28515625" style="682" bestFit="1" customWidth="1"/>
    <col min="2304" max="2304" width="10.85546875" style="682" bestFit="1" customWidth="1"/>
    <col min="2305" max="2305" width="9.85546875" style="682" bestFit="1" customWidth="1"/>
    <col min="2306" max="2306" width="10.85546875" style="682" customWidth="1"/>
    <col min="2307" max="2307" width="10.140625" style="682" customWidth="1"/>
    <col min="2308" max="2308" width="11.5703125" style="682" customWidth="1"/>
    <col min="2309" max="2309" width="11.28515625" style="682" bestFit="1" customWidth="1"/>
    <col min="2310" max="2310" width="9.5703125" style="682" customWidth="1"/>
    <col min="2311" max="2311" width="9.7109375" style="682" bestFit="1" customWidth="1"/>
    <col min="2312" max="2312" width="10.7109375" style="682" customWidth="1"/>
    <col min="2313" max="2313" width="11" style="682" customWidth="1"/>
    <col min="2314" max="2550" width="9.140625" style="682"/>
    <col min="2551" max="2551" width="21.42578125" style="682" customWidth="1"/>
    <col min="2552" max="2552" width="10.7109375" style="682" customWidth="1"/>
    <col min="2553" max="2554" width="9.85546875" style="682" bestFit="1" customWidth="1"/>
    <col min="2555" max="2555" width="9.28515625" style="682" bestFit="1" customWidth="1"/>
    <col min="2556" max="2556" width="10.140625" style="682" customWidth="1"/>
    <col min="2557" max="2557" width="10.85546875" style="682" bestFit="1" customWidth="1"/>
    <col min="2558" max="2558" width="10.7109375" style="682" customWidth="1"/>
    <col min="2559" max="2559" width="11.28515625" style="682" bestFit="1" customWidth="1"/>
    <col min="2560" max="2560" width="10.85546875" style="682" bestFit="1" customWidth="1"/>
    <col min="2561" max="2561" width="9.85546875" style="682" bestFit="1" customWidth="1"/>
    <col min="2562" max="2562" width="10.85546875" style="682" customWidth="1"/>
    <col min="2563" max="2563" width="10.140625" style="682" customWidth="1"/>
    <col min="2564" max="2564" width="11.5703125" style="682" customWidth="1"/>
    <col min="2565" max="2565" width="11.28515625" style="682" bestFit="1" customWidth="1"/>
    <col min="2566" max="2566" width="9.5703125" style="682" customWidth="1"/>
    <col min="2567" max="2567" width="9.7109375" style="682" bestFit="1" customWidth="1"/>
    <col min="2568" max="2568" width="10.7109375" style="682" customWidth="1"/>
    <col min="2569" max="2569" width="11" style="682" customWidth="1"/>
    <col min="2570" max="2806" width="9.140625" style="682"/>
    <col min="2807" max="2807" width="21.42578125" style="682" customWidth="1"/>
    <col min="2808" max="2808" width="10.7109375" style="682" customWidth="1"/>
    <col min="2809" max="2810" width="9.85546875" style="682" bestFit="1" customWidth="1"/>
    <col min="2811" max="2811" width="9.28515625" style="682" bestFit="1" customWidth="1"/>
    <col min="2812" max="2812" width="10.140625" style="682" customWidth="1"/>
    <col min="2813" max="2813" width="10.85546875" style="682" bestFit="1" customWidth="1"/>
    <col min="2814" max="2814" width="10.7109375" style="682" customWidth="1"/>
    <col min="2815" max="2815" width="11.28515625" style="682" bestFit="1" customWidth="1"/>
    <col min="2816" max="2816" width="10.85546875" style="682" bestFit="1" customWidth="1"/>
    <col min="2817" max="2817" width="9.85546875" style="682" bestFit="1" customWidth="1"/>
    <col min="2818" max="2818" width="10.85546875" style="682" customWidth="1"/>
    <col min="2819" max="2819" width="10.140625" style="682" customWidth="1"/>
    <col min="2820" max="2820" width="11.5703125" style="682" customWidth="1"/>
    <col min="2821" max="2821" width="11.28515625" style="682" bestFit="1" customWidth="1"/>
    <col min="2822" max="2822" width="9.5703125" style="682" customWidth="1"/>
    <col min="2823" max="2823" width="9.7109375" style="682" bestFit="1" customWidth="1"/>
    <col min="2824" max="2824" width="10.7109375" style="682" customWidth="1"/>
    <col min="2825" max="2825" width="11" style="682" customWidth="1"/>
    <col min="2826" max="3062" width="9.140625" style="682"/>
    <col min="3063" max="3063" width="21.42578125" style="682" customWidth="1"/>
    <col min="3064" max="3064" width="10.7109375" style="682" customWidth="1"/>
    <col min="3065" max="3066" width="9.85546875" style="682" bestFit="1" customWidth="1"/>
    <col min="3067" max="3067" width="9.28515625" style="682" bestFit="1" customWidth="1"/>
    <col min="3068" max="3068" width="10.140625" style="682" customWidth="1"/>
    <col min="3069" max="3069" width="10.85546875" style="682" bestFit="1" customWidth="1"/>
    <col min="3070" max="3070" width="10.7109375" style="682" customWidth="1"/>
    <col min="3071" max="3071" width="11.28515625" style="682" bestFit="1" customWidth="1"/>
    <col min="3072" max="3072" width="10.85546875" style="682" bestFit="1" customWidth="1"/>
    <col min="3073" max="3073" width="9.85546875" style="682" bestFit="1" customWidth="1"/>
    <col min="3074" max="3074" width="10.85546875" style="682" customWidth="1"/>
    <col min="3075" max="3075" width="10.140625" style="682" customWidth="1"/>
    <col min="3076" max="3076" width="11.5703125" style="682" customWidth="1"/>
    <col min="3077" max="3077" width="11.28515625" style="682" bestFit="1" customWidth="1"/>
    <col min="3078" max="3078" width="9.5703125" style="682" customWidth="1"/>
    <col min="3079" max="3079" width="9.7109375" style="682" bestFit="1" customWidth="1"/>
    <col min="3080" max="3080" width="10.7109375" style="682" customWidth="1"/>
    <col min="3081" max="3081" width="11" style="682" customWidth="1"/>
    <col min="3082" max="3318" width="9.140625" style="682"/>
    <col min="3319" max="3319" width="21.42578125" style="682" customWidth="1"/>
    <col min="3320" max="3320" width="10.7109375" style="682" customWidth="1"/>
    <col min="3321" max="3322" width="9.85546875" style="682" bestFit="1" customWidth="1"/>
    <col min="3323" max="3323" width="9.28515625" style="682" bestFit="1" customWidth="1"/>
    <col min="3324" max="3324" width="10.140625" style="682" customWidth="1"/>
    <col min="3325" max="3325" width="10.85546875" style="682" bestFit="1" customWidth="1"/>
    <col min="3326" max="3326" width="10.7109375" style="682" customWidth="1"/>
    <col min="3327" max="3327" width="11.28515625" style="682" bestFit="1" customWidth="1"/>
    <col min="3328" max="3328" width="10.85546875" style="682" bestFit="1" customWidth="1"/>
    <col min="3329" max="3329" width="9.85546875" style="682" bestFit="1" customWidth="1"/>
    <col min="3330" max="3330" width="10.85546875" style="682" customWidth="1"/>
    <col min="3331" max="3331" width="10.140625" style="682" customWidth="1"/>
    <col min="3332" max="3332" width="11.5703125" style="682" customWidth="1"/>
    <col min="3333" max="3333" width="11.28515625" style="682" bestFit="1" customWidth="1"/>
    <col min="3334" max="3334" width="9.5703125" style="682" customWidth="1"/>
    <col min="3335" max="3335" width="9.7109375" style="682" bestFit="1" customWidth="1"/>
    <col min="3336" max="3336" width="10.7109375" style="682" customWidth="1"/>
    <col min="3337" max="3337" width="11" style="682" customWidth="1"/>
    <col min="3338" max="3574" width="9.140625" style="682"/>
    <col min="3575" max="3575" width="21.42578125" style="682" customWidth="1"/>
    <col min="3576" max="3576" width="10.7109375" style="682" customWidth="1"/>
    <col min="3577" max="3578" width="9.85546875" style="682" bestFit="1" customWidth="1"/>
    <col min="3579" max="3579" width="9.28515625" style="682" bestFit="1" customWidth="1"/>
    <col min="3580" max="3580" width="10.140625" style="682" customWidth="1"/>
    <col min="3581" max="3581" width="10.85546875" style="682" bestFit="1" customWidth="1"/>
    <col min="3582" max="3582" width="10.7109375" style="682" customWidth="1"/>
    <col min="3583" max="3583" width="11.28515625" style="682" bestFit="1" customWidth="1"/>
    <col min="3584" max="3584" width="10.85546875" style="682" bestFit="1" customWidth="1"/>
    <col min="3585" max="3585" width="9.85546875" style="682" bestFit="1" customWidth="1"/>
    <col min="3586" max="3586" width="10.85546875" style="682" customWidth="1"/>
    <col min="3587" max="3587" width="10.140625" style="682" customWidth="1"/>
    <col min="3588" max="3588" width="11.5703125" style="682" customWidth="1"/>
    <col min="3589" max="3589" width="11.28515625" style="682" bestFit="1" customWidth="1"/>
    <col min="3590" max="3590" width="9.5703125" style="682" customWidth="1"/>
    <col min="3591" max="3591" width="9.7109375" style="682" bestFit="1" customWidth="1"/>
    <col min="3592" max="3592" width="10.7109375" style="682" customWidth="1"/>
    <col min="3593" max="3593" width="11" style="682" customWidth="1"/>
    <col min="3594" max="3830" width="9.140625" style="682"/>
    <col min="3831" max="3831" width="21.42578125" style="682" customWidth="1"/>
    <col min="3832" max="3832" width="10.7109375" style="682" customWidth="1"/>
    <col min="3833" max="3834" width="9.85546875" style="682" bestFit="1" customWidth="1"/>
    <col min="3835" max="3835" width="9.28515625" style="682" bestFit="1" customWidth="1"/>
    <col min="3836" max="3836" width="10.140625" style="682" customWidth="1"/>
    <col min="3837" max="3837" width="10.85546875" style="682" bestFit="1" customWidth="1"/>
    <col min="3838" max="3838" width="10.7109375" style="682" customWidth="1"/>
    <col min="3839" max="3839" width="11.28515625" style="682" bestFit="1" customWidth="1"/>
    <col min="3840" max="3840" width="10.85546875" style="682" bestFit="1" customWidth="1"/>
    <col min="3841" max="3841" width="9.85546875" style="682" bestFit="1" customWidth="1"/>
    <col min="3842" max="3842" width="10.85546875" style="682" customWidth="1"/>
    <col min="3843" max="3843" width="10.140625" style="682" customWidth="1"/>
    <col min="3844" max="3844" width="11.5703125" style="682" customWidth="1"/>
    <col min="3845" max="3845" width="11.28515625" style="682" bestFit="1" customWidth="1"/>
    <col min="3846" max="3846" width="9.5703125" style="682" customWidth="1"/>
    <col min="3847" max="3847" width="9.7109375" style="682" bestFit="1" customWidth="1"/>
    <col min="3848" max="3848" width="10.7109375" style="682" customWidth="1"/>
    <col min="3849" max="3849" width="11" style="682" customWidth="1"/>
    <col min="3850" max="4086" width="9.140625" style="682"/>
    <col min="4087" max="4087" width="21.42578125" style="682" customWidth="1"/>
    <col min="4088" max="4088" width="10.7109375" style="682" customWidth="1"/>
    <col min="4089" max="4090" width="9.85546875" style="682" bestFit="1" customWidth="1"/>
    <col min="4091" max="4091" width="9.28515625" style="682" bestFit="1" customWidth="1"/>
    <col min="4092" max="4092" width="10.140625" style="682" customWidth="1"/>
    <col min="4093" max="4093" width="10.85546875" style="682" bestFit="1" customWidth="1"/>
    <col min="4094" max="4094" width="10.7109375" style="682" customWidth="1"/>
    <col min="4095" max="4095" width="11.28515625" style="682" bestFit="1" customWidth="1"/>
    <col min="4096" max="4096" width="10.85546875" style="682" bestFit="1" customWidth="1"/>
    <col min="4097" max="4097" width="9.85546875" style="682" bestFit="1" customWidth="1"/>
    <col min="4098" max="4098" width="10.85546875" style="682" customWidth="1"/>
    <col min="4099" max="4099" width="10.140625" style="682" customWidth="1"/>
    <col min="4100" max="4100" width="11.5703125" style="682" customWidth="1"/>
    <col min="4101" max="4101" width="11.28515625" style="682" bestFit="1" customWidth="1"/>
    <col min="4102" max="4102" width="9.5703125" style="682" customWidth="1"/>
    <col min="4103" max="4103" width="9.7109375" style="682" bestFit="1" customWidth="1"/>
    <col min="4104" max="4104" width="10.7109375" style="682" customWidth="1"/>
    <col min="4105" max="4105" width="11" style="682" customWidth="1"/>
    <col min="4106" max="4342" width="9.140625" style="682"/>
    <col min="4343" max="4343" width="21.42578125" style="682" customWidth="1"/>
    <col min="4344" max="4344" width="10.7109375" style="682" customWidth="1"/>
    <col min="4345" max="4346" width="9.85546875" style="682" bestFit="1" customWidth="1"/>
    <col min="4347" max="4347" width="9.28515625" style="682" bestFit="1" customWidth="1"/>
    <col min="4348" max="4348" width="10.140625" style="682" customWidth="1"/>
    <col min="4349" max="4349" width="10.85546875" style="682" bestFit="1" customWidth="1"/>
    <col min="4350" max="4350" width="10.7109375" style="682" customWidth="1"/>
    <col min="4351" max="4351" width="11.28515625" style="682" bestFit="1" customWidth="1"/>
    <col min="4352" max="4352" width="10.85546875" style="682" bestFit="1" customWidth="1"/>
    <col min="4353" max="4353" width="9.85546875" style="682" bestFit="1" customWidth="1"/>
    <col min="4354" max="4354" width="10.85546875" style="682" customWidth="1"/>
    <col min="4355" max="4355" width="10.140625" style="682" customWidth="1"/>
    <col min="4356" max="4356" width="11.5703125" style="682" customWidth="1"/>
    <col min="4357" max="4357" width="11.28515625" style="682" bestFit="1" customWidth="1"/>
    <col min="4358" max="4358" width="9.5703125" style="682" customWidth="1"/>
    <col min="4359" max="4359" width="9.7109375" style="682" bestFit="1" customWidth="1"/>
    <col min="4360" max="4360" width="10.7109375" style="682" customWidth="1"/>
    <col min="4361" max="4361" width="11" style="682" customWidth="1"/>
    <col min="4362" max="4598" width="9.140625" style="682"/>
    <col min="4599" max="4599" width="21.42578125" style="682" customWidth="1"/>
    <col min="4600" max="4600" width="10.7109375" style="682" customWidth="1"/>
    <col min="4601" max="4602" width="9.85546875" style="682" bestFit="1" customWidth="1"/>
    <col min="4603" max="4603" width="9.28515625" style="682" bestFit="1" customWidth="1"/>
    <col min="4604" max="4604" width="10.140625" style="682" customWidth="1"/>
    <col min="4605" max="4605" width="10.85546875" style="682" bestFit="1" customWidth="1"/>
    <col min="4606" max="4606" width="10.7109375" style="682" customWidth="1"/>
    <col min="4607" max="4607" width="11.28515625" style="682" bestFit="1" customWidth="1"/>
    <col min="4608" max="4608" width="10.85546875" style="682" bestFit="1" customWidth="1"/>
    <col min="4609" max="4609" width="9.85546875" style="682" bestFit="1" customWidth="1"/>
    <col min="4610" max="4610" width="10.85546875" style="682" customWidth="1"/>
    <col min="4611" max="4611" width="10.140625" style="682" customWidth="1"/>
    <col min="4612" max="4612" width="11.5703125" style="682" customWidth="1"/>
    <col min="4613" max="4613" width="11.28515625" style="682" bestFit="1" customWidth="1"/>
    <col min="4614" max="4614" width="9.5703125" style="682" customWidth="1"/>
    <col min="4615" max="4615" width="9.7109375" style="682" bestFit="1" customWidth="1"/>
    <col min="4616" max="4616" width="10.7109375" style="682" customWidth="1"/>
    <col min="4617" max="4617" width="11" style="682" customWidth="1"/>
    <col min="4618" max="4854" width="9.140625" style="682"/>
    <col min="4855" max="4855" width="21.42578125" style="682" customWidth="1"/>
    <col min="4856" max="4856" width="10.7109375" style="682" customWidth="1"/>
    <col min="4857" max="4858" width="9.85546875" style="682" bestFit="1" customWidth="1"/>
    <col min="4859" max="4859" width="9.28515625" style="682" bestFit="1" customWidth="1"/>
    <col min="4860" max="4860" width="10.140625" style="682" customWidth="1"/>
    <col min="4861" max="4861" width="10.85546875" style="682" bestFit="1" customWidth="1"/>
    <col min="4862" max="4862" width="10.7109375" style="682" customWidth="1"/>
    <col min="4863" max="4863" width="11.28515625" style="682" bestFit="1" customWidth="1"/>
    <col min="4864" max="4864" width="10.85546875" style="682" bestFit="1" customWidth="1"/>
    <col min="4865" max="4865" width="9.85546875" style="682" bestFit="1" customWidth="1"/>
    <col min="4866" max="4866" width="10.85546875" style="682" customWidth="1"/>
    <col min="4867" max="4867" width="10.140625" style="682" customWidth="1"/>
    <col min="4868" max="4868" width="11.5703125" style="682" customWidth="1"/>
    <col min="4869" max="4869" width="11.28515625" style="682" bestFit="1" customWidth="1"/>
    <col min="4870" max="4870" width="9.5703125" style="682" customWidth="1"/>
    <col min="4871" max="4871" width="9.7109375" style="682" bestFit="1" customWidth="1"/>
    <col min="4872" max="4872" width="10.7109375" style="682" customWidth="1"/>
    <col min="4873" max="4873" width="11" style="682" customWidth="1"/>
    <col min="4874" max="5110" width="9.140625" style="682"/>
    <col min="5111" max="5111" width="21.42578125" style="682" customWidth="1"/>
    <col min="5112" max="5112" width="10.7109375" style="682" customWidth="1"/>
    <col min="5113" max="5114" width="9.85546875" style="682" bestFit="1" customWidth="1"/>
    <col min="5115" max="5115" width="9.28515625" style="682" bestFit="1" customWidth="1"/>
    <col min="5116" max="5116" width="10.140625" style="682" customWidth="1"/>
    <col min="5117" max="5117" width="10.85546875" style="682" bestFit="1" customWidth="1"/>
    <col min="5118" max="5118" width="10.7109375" style="682" customWidth="1"/>
    <col min="5119" max="5119" width="11.28515625" style="682" bestFit="1" customWidth="1"/>
    <col min="5120" max="5120" width="10.85546875" style="682" bestFit="1" customWidth="1"/>
    <col min="5121" max="5121" width="9.85546875" style="682" bestFit="1" customWidth="1"/>
    <col min="5122" max="5122" width="10.85546875" style="682" customWidth="1"/>
    <col min="5123" max="5123" width="10.140625" style="682" customWidth="1"/>
    <col min="5124" max="5124" width="11.5703125" style="682" customWidth="1"/>
    <col min="5125" max="5125" width="11.28515625" style="682" bestFit="1" customWidth="1"/>
    <col min="5126" max="5126" width="9.5703125" style="682" customWidth="1"/>
    <col min="5127" max="5127" width="9.7109375" style="682" bestFit="1" customWidth="1"/>
    <col min="5128" max="5128" width="10.7109375" style="682" customWidth="1"/>
    <col min="5129" max="5129" width="11" style="682" customWidth="1"/>
    <col min="5130" max="5366" width="9.140625" style="682"/>
    <col min="5367" max="5367" width="21.42578125" style="682" customWidth="1"/>
    <col min="5368" max="5368" width="10.7109375" style="682" customWidth="1"/>
    <col min="5369" max="5370" width="9.85546875" style="682" bestFit="1" customWidth="1"/>
    <col min="5371" max="5371" width="9.28515625" style="682" bestFit="1" customWidth="1"/>
    <col min="5372" max="5372" width="10.140625" style="682" customWidth="1"/>
    <col min="5373" max="5373" width="10.85546875" style="682" bestFit="1" customWidth="1"/>
    <col min="5374" max="5374" width="10.7109375" style="682" customWidth="1"/>
    <col min="5375" max="5375" width="11.28515625" style="682" bestFit="1" customWidth="1"/>
    <col min="5376" max="5376" width="10.85546875" style="682" bestFit="1" customWidth="1"/>
    <col min="5377" max="5377" width="9.85546875" style="682" bestFit="1" customWidth="1"/>
    <col min="5378" max="5378" width="10.85546875" style="682" customWidth="1"/>
    <col min="5379" max="5379" width="10.140625" style="682" customWidth="1"/>
    <col min="5380" max="5380" width="11.5703125" style="682" customWidth="1"/>
    <col min="5381" max="5381" width="11.28515625" style="682" bestFit="1" customWidth="1"/>
    <col min="5382" max="5382" width="9.5703125" style="682" customWidth="1"/>
    <col min="5383" max="5383" width="9.7109375" style="682" bestFit="1" customWidth="1"/>
    <col min="5384" max="5384" width="10.7109375" style="682" customWidth="1"/>
    <col min="5385" max="5385" width="11" style="682" customWidth="1"/>
    <col min="5386" max="5622" width="9.140625" style="682"/>
    <col min="5623" max="5623" width="21.42578125" style="682" customWidth="1"/>
    <col min="5624" max="5624" width="10.7109375" style="682" customWidth="1"/>
    <col min="5625" max="5626" width="9.85546875" style="682" bestFit="1" customWidth="1"/>
    <col min="5627" max="5627" width="9.28515625" style="682" bestFit="1" customWidth="1"/>
    <col min="5628" max="5628" width="10.140625" style="682" customWidth="1"/>
    <col min="5629" max="5629" width="10.85546875" style="682" bestFit="1" customWidth="1"/>
    <col min="5630" max="5630" width="10.7109375" style="682" customWidth="1"/>
    <col min="5631" max="5631" width="11.28515625" style="682" bestFit="1" customWidth="1"/>
    <col min="5632" max="5632" width="10.85546875" style="682" bestFit="1" customWidth="1"/>
    <col min="5633" max="5633" width="9.85546875" style="682" bestFit="1" customWidth="1"/>
    <col min="5634" max="5634" width="10.85546875" style="682" customWidth="1"/>
    <col min="5635" max="5635" width="10.140625" style="682" customWidth="1"/>
    <col min="5636" max="5636" width="11.5703125" style="682" customWidth="1"/>
    <col min="5637" max="5637" width="11.28515625" style="682" bestFit="1" customWidth="1"/>
    <col min="5638" max="5638" width="9.5703125" style="682" customWidth="1"/>
    <col min="5639" max="5639" width="9.7109375" style="682" bestFit="1" customWidth="1"/>
    <col min="5640" max="5640" width="10.7109375" style="682" customWidth="1"/>
    <col min="5641" max="5641" width="11" style="682" customWidth="1"/>
    <col min="5642" max="5878" width="9.140625" style="682"/>
    <col min="5879" max="5879" width="21.42578125" style="682" customWidth="1"/>
    <col min="5880" max="5880" width="10.7109375" style="682" customWidth="1"/>
    <col min="5881" max="5882" width="9.85546875" style="682" bestFit="1" customWidth="1"/>
    <col min="5883" max="5883" width="9.28515625" style="682" bestFit="1" customWidth="1"/>
    <col min="5884" max="5884" width="10.140625" style="682" customWidth="1"/>
    <col min="5885" max="5885" width="10.85546875" style="682" bestFit="1" customWidth="1"/>
    <col min="5886" max="5886" width="10.7109375" style="682" customWidth="1"/>
    <col min="5887" max="5887" width="11.28515625" style="682" bestFit="1" customWidth="1"/>
    <col min="5888" max="5888" width="10.85546875" style="682" bestFit="1" customWidth="1"/>
    <col min="5889" max="5889" width="9.85546875" style="682" bestFit="1" customWidth="1"/>
    <col min="5890" max="5890" width="10.85546875" style="682" customWidth="1"/>
    <col min="5891" max="5891" width="10.140625" style="682" customWidth="1"/>
    <col min="5892" max="5892" width="11.5703125" style="682" customWidth="1"/>
    <col min="5893" max="5893" width="11.28515625" style="682" bestFit="1" customWidth="1"/>
    <col min="5894" max="5894" width="9.5703125" style="682" customWidth="1"/>
    <col min="5895" max="5895" width="9.7109375" style="682" bestFit="1" customWidth="1"/>
    <col min="5896" max="5896" width="10.7109375" style="682" customWidth="1"/>
    <col min="5897" max="5897" width="11" style="682" customWidth="1"/>
    <col min="5898" max="6134" width="9.140625" style="682"/>
    <col min="6135" max="6135" width="21.42578125" style="682" customWidth="1"/>
    <col min="6136" max="6136" width="10.7109375" style="682" customWidth="1"/>
    <col min="6137" max="6138" width="9.85546875" style="682" bestFit="1" customWidth="1"/>
    <col min="6139" max="6139" width="9.28515625" style="682" bestFit="1" customWidth="1"/>
    <col min="6140" max="6140" width="10.140625" style="682" customWidth="1"/>
    <col min="6141" max="6141" width="10.85546875" style="682" bestFit="1" customWidth="1"/>
    <col min="6142" max="6142" width="10.7109375" style="682" customWidth="1"/>
    <col min="6143" max="6143" width="11.28515625" style="682" bestFit="1" customWidth="1"/>
    <col min="6144" max="6144" width="10.85546875" style="682" bestFit="1" customWidth="1"/>
    <col min="6145" max="6145" width="9.85546875" style="682" bestFit="1" customWidth="1"/>
    <col min="6146" max="6146" width="10.85546875" style="682" customWidth="1"/>
    <col min="6147" max="6147" width="10.140625" style="682" customWidth="1"/>
    <col min="6148" max="6148" width="11.5703125" style="682" customWidth="1"/>
    <col min="6149" max="6149" width="11.28515625" style="682" bestFit="1" customWidth="1"/>
    <col min="6150" max="6150" width="9.5703125" style="682" customWidth="1"/>
    <col min="6151" max="6151" width="9.7109375" style="682" bestFit="1" customWidth="1"/>
    <col min="6152" max="6152" width="10.7109375" style="682" customWidth="1"/>
    <col min="6153" max="6153" width="11" style="682" customWidth="1"/>
    <col min="6154" max="6390" width="9.140625" style="682"/>
    <col min="6391" max="6391" width="21.42578125" style="682" customWidth="1"/>
    <col min="6392" max="6392" width="10.7109375" style="682" customWidth="1"/>
    <col min="6393" max="6394" width="9.85546875" style="682" bestFit="1" customWidth="1"/>
    <col min="6395" max="6395" width="9.28515625" style="682" bestFit="1" customWidth="1"/>
    <col min="6396" max="6396" width="10.140625" style="682" customWidth="1"/>
    <col min="6397" max="6397" width="10.85546875" style="682" bestFit="1" customWidth="1"/>
    <col min="6398" max="6398" width="10.7109375" style="682" customWidth="1"/>
    <col min="6399" max="6399" width="11.28515625" style="682" bestFit="1" customWidth="1"/>
    <col min="6400" max="6400" width="10.85546875" style="682" bestFit="1" customWidth="1"/>
    <col min="6401" max="6401" width="9.85546875" style="682" bestFit="1" customWidth="1"/>
    <col min="6402" max="6402" width="10.85546875" style="682" customWidth="1"/>
    <col min="6403" max="6403" width="10.140625" style="682" customWidth="1"/>
    <col min="6404" max="6404" width="11.5703125" style="682" customWidth="1"/>
    <col min="6405" max="6405" width="11.28515625" style="682" bestFit="1" customWidth="1"/>
    <col min="6406" max="6406" width="9.5703125" style="682" customWidth="1"/>
    <col min="6407" max="6407" width="9.7109375" style="682" bestFit="1" customWidth="1"/>
    <col min="6408" max="6408" width="10.7109375" style="682" customWidth="1"/>
    <col min="6409" max="6409" width="11" style="682" customWidth="1"/>
    <col min="6410" max="6646" width="9.140625" style="682"/>
    <col min="6647" max="6647" width="21.42578125" style="682" customWidth="1"/>
    <col min="6648" max="6648" width="10.7109375" style="682" customWidth="1"/>
    <col min="6649" max="6650" width="9.85546875" style="682" bestFit="1" customWidth="1"/>
    <col min="6651" max="6651" width="9.28515625" style="682" bestFit="1" customWidth="1"/>
    <col min="6652" max="6652" width="10.140625" style="682" customWidth="1"/>
    <col min="6653" max="6653" width="10.85546875" style="682" bestFit="1" customWidth="1"/>
    <col min="6654" max="6654" width="10.7109375" style="682" customWidth="1"/>
    <col min="6655" max="6655" width="11.28515625" style="682" bestFit="1" customWidth="1"/>
    <col min="6656" max="6656" width="10.85546875" style="682" bestFit="1" customWidth="1"/>
    <col min="6657" max="6657" width="9.85546875" style="682" bestFit="1" customWidth="1"/>
    <col min="6658" max="6658" width="10.85546875" style="682" customWidth="1"/>
    <col min="6659" max="6659" width="10.140625" style="682" customWidth="1"/>
    <col min="6660" max="6660" width="11.5703125" style="682" customWidth="1"/>
    <col min="6661" max="6661" width="11.28515625" style="682" bestFit="1" customWidth="1"/>
    <col min="6662" max="6662" width="9.5703125" style="682" customWidth="1"/>
    <col min="6663" max="6663" width="9.7109375" style="682" bestFit="1" customWidth="1"/>
    <col min="6664" max="6664" width="10.7109375" style="682" customWidth="1"/>
    <col min="6665" max="6665" width="11" style="682" customWidth="1"/>
    <col min="6666" max="6902" width="9.140625" style="682"/>
    <col min="6903" max="6903" width="21.42578125" style="682" customWidth="1"/>
    <col min="6904" max="6904" width="10.7109375" style="682" customWidth="1"/>
    <col min="6905" max="6906" width="9.85546875" style="682" bestFit="1" customWidth="1"/>
    <col min="6907" max="6907" width="9.28515625" style="682" bestFit="1" customWidth="1"/>
    <col min="6908" max="6908" width="10.140625" style="682" customWidth="1"/>
    <col min="6909" max="6909" width="10.85546875" style="682" bestFit="1" customWidth="1"/>
    <col min="6910" max="6910" width="10.7109375" style="682" customWidth="1"/>
    <col min="6911" max="6911" width="11.28515625" style="682" bestFit="1" customWidth="1"/>
    <col min="6912" max="6912" width="10.85546875" style="682" bestFit="1" customWidth="1"/>
    <col min="6913" max="6913" width="9.85546875" style="682" bestFit="1" customWidth="1"/>
    <col min="6914" max="6914" width="10.85546875" style="682" customWidth="1"/>
    <col min="6915" max="6915" width="10.140625" style="682" customWidth="1"/>
    <col min="6916" max="6916" width="11.5703125" style="682" customWidth="1"/>
    <col min="6917" max="6917" width="11.28515625" style="682" bestFit="1" customWidth="1"/>
    <col min="6918" max="6918" width="9.5703125" style="682" customWidth="1"/>
    <col min="6919" max="6919" width="9.7109375" style="682" bestFit="1" customWidth="1"/>
    <col min="6920" max="6920" width="10.7109375" style="682" customWidth="1"/>
    <col min="6921" max="6921" width="11" style="682" customWidth="1"/>
    <col min="6922" max="7158" width="9.140625" style="682"/>
    <col min="7159" max="7159" width="21.42578125" style="682" customWidth="1"/>
    <col min="7160" max="7160" width="10.7109375" style="682" customWidth="1"/>
    <col min="7161" max="7162" width="9.85546875" style="682" bestFit="1" customWidth="1"/>
    <col min="7163" max="7163" width="9.28515625" style="682" bestFit="1" customWidth="1"/>
    <col min="7164" max="7164" width="10.140625" style="682" customWidth="1"/>
    <col min="7165" max="7165" width="10.85546875" style="682" bestFit="1" customWidth="1"/>
    <col min="7166" max="7166" width="10.7109375" style="682" customWidth="1"/>
    <col min="7167" max="7167" width="11.28515625" style="682" bestFit="1" customWidth="1"/>
    <col min="7168" max="7168" width="10.85546875" style="682" bestFit="1" customWidth="1"/>
    <col min="7169" max="7169" width="9.85546875" style="682" bestFit="1" customWidth="1"/>
    <col min="7170" max="7170" width="10.85546875" style="682" customWidth="1"/>
    <col min="7171" max="7171" width="10.140625" style="682" customWidth="1"/>
    <col min="7172" max="7172" width="11.5703125" style="682" customWidth="1"/>
    <col min="7173" max="7173" width="11.28515625" style="682" bestFit="1" customWidth="1"/>
    <col min="7174" max="7174" width="9.5703125" style="682" customWidth="1"/>
    <col min="7175" max="7175" width="9.7109375" style="682" bestFit="1" customWidth="1"/>
    <col min="7176" max="7176" width="10.7109375" style="682" customWidth="1"/>
    <col min="7177" max="7177" width="11" style="682" customWidth="1"/>
    <col min="7178" max="7414" width="9.140625" style="682"/>
    <col min="7415" max="7415" width="21.42578125" style="682" customWidth="1"/>
    <col min="7416" max="7416" width="10.7109375" style="682" customWidth="1"/>
    <col min="7417" max="7418" width="9.85546875" style="682" bestFit="1" customWidth="1"/>
    <col min="7419" max="7419" width="9.28515625" style="682" bestFit="1" customWidth="1"/>
    <col min="7420" max="7420" width="10.140625" style="682" customWidth="1"/>
    <col min="7421" max="7421" width="10.85546875" style="682" bestFit="1" customWidth="1"/>
    <col min="7422" max="7422" width="10.7109375" style="682" customWidth="1"/>
    <col min="7423" max="7423" width="11.28515625" style="682" bestFit="1" customWidth="1"/>
    <col min="7424" max="7424" width="10.85546875" style="682" bestFit="1" customWidth="1"/>
    <col min="7425" max="7425" width="9.85546875" style="682" bestFit="1" customWidth="1"/>
    <col min="7426" max="7426" width="10.85546875" style="682" customWidth="1"/>
    <col min="7427" max="7427" width="10.140625" style="682" customWidth="1"/>
    <col min="7428" max="7428" width="11.5703125" style="682" customWidth="1"/>
    <col min="7429" max="7429" width="11.28515625" style="682" bestFit="1" customWidth="1"/>
    <col min="7430" max="7430" width="9.5703125" style="682" customWidth="1"/>
    <col min="7431" max="7431" width="9.7109375" style="682" bestFit="1" customWidth="1"/>
    <col min="7432" max="7432" width="10.7109375" style="682" customWidth="1"/>
    <col min="7433" max="7433" width="11" style="682" customWidth="1"/>
    <col min="7434" max="7670" width="9.140625" style="682"/>
    <col min="7671" max="7671" width="21.42578125" style="682" customWidth="1"/>
    <col min="7672" max="7672" width="10.7109375" style="682" customWidth="1"/>
    <col min="7673" max="7674" width="9.85546875" style="682" bestFit="1" customWidth="1"/>
    <col min="7675" max="7675" width="9.28515625" style="682" bestFit="1" customWidth="1"/>
    <col min="7676" max="7676" width="10.140625" style="682" customWidth="1"/>
    <col min="7677" max="7677" width="10.85546875" style="682" bestFit="1" customWidth="1"/>
    <col min="7678" max="7678" width="10.7109375" style="682" customWidth="1"/>
    <col min="7679" max="7679" width="11.28515625" style="682" bestFit="1" customWidth="1"/>
    <col min="7680" max="7680" width="10.85546875" style="682" bestFit="1" customWidth="1"/>
    <col min="7681" max="7681" width="9.85546875" style="682" bestFit="1" customWidth="1"/>
    <col min="7682" max="7682" width="10.85546875" style="682" customWidth="1"/>
    <col min="7683" max="7683" width="10.140625" style="682" customWidth="1"/>
    <col min="7684" max="7684" width="11.5703125" style="682" customWidth="1"/>
    <col min="7685" max="7685" width="11.28515625" style="682" bestFit="1" customWidth="1"/>
    <col min="7686" max="7686" width="9.5703125" style="682" customWidth="1"/>
    <col min="7687" max="7687" width="9.7109375" style="682" bestFit="1" customWidth="1"/>
    <col min="7688" max="7688" width="10.7109375" style="682" customWidth="1"/>
    <col min="7689" max="7689" width="11" style="682" customWidth="1"/>
    <col min="7690" max="7926" width="9.140625" style="682"/>
    <col min="7927" max="7927" width="21.42578125" style="682" customWidth="1"/>
    <col min="7928" max="7928" width="10.7109375" style="682" customWidth="1"/>
    <col min="7929" max="7930" width="9.85546875" style="682" bestFit="1" customWidth="1"/>
    <col min="7931" max="7931" width="9.28515625" style="682" bestFit="1" customWidth="1"/>
    <col min="7932" max="7932" width="10.140625" style="682" customWidth="1"/>
    <col min="7933" max="7933" width="10.85546875" style="682" bestFit="1" customWidth="1"/>
    <col min="7934" max="7934" width="10.7109375" style="682" customWidth="1"/>
    <col min="7935" max="7935" width="11.28515625" style="682" bestFit="1" customWidth="1"/>
    <col min="7936" max="7936" width="10.85546875" style="682" bestFit="1" customWidth="1"/>
    <col min="7937" max="7937" width="9.85546875" style="682" bestFit="1" customWidth="1"/>
    <col min="7938" max="7938" width="10.85546875" style="682" customWidth="1"/>
    <col min="7939" max="7939" width="10.140625" style="682" customWidth="1"/>
    <col min="7940" max="7940" width="11.5703125" style="682" customWidth="1"/>
    <col min="7941" max="7941" width="11.28515625" style="682" bestFit="1" customWidth="1"/>
    <col min="7942" max="7942" width="9.5703125" style="682" customWidth="1"/>
    <col min="7943" max="7943" width="9.7109375" style="682" bestFit="1" customWidth="1"/>
    <col min="7944" max="7944" width="10.7109375" style="682" customWidth="1"/>
    <col min="7945" max="7945" width="11" style="682" customWidth="1"/>
    <col min="7946" max="8182" width="9.140625" style="682"/>
    <col min="8183" max="8183" width="21.42578125" style="682" customWidth="1"/>
    <col min="8184" max="8184" width="10.7109375" style="682" customWidth="1"/>
    <col min="8185" max="8186" width="9.85546875" style="682" bestFit="1" customWidth="1"/>
    <col min="8187" max="8187" width="9.28515625" style="682" bestFit="1" customWidth="1"/>
    <col min="8188" max="8188" width="10.140625" style="682" customWidth="1"/>
    <col min="8189" max="8189" width="10.85546875" style="682" bestFit="1" customWidth="1"/>
    <col min="8190" max="8190" width="10.7109375" style="682" customWidth="1"/>
    <col min="8191" max="8191" width="11.28515625" style="682" bestFit="1" customWidth="1"/>
    <col min="8192" max="8192" width="10.85546875" style="682" bestFit="1" customWidth="1"/>
    <col min="8193" max="8193" width="9.85546875" style="682" bestFit="1" customWidth="1"/>
    <col min="8194" max="8194" width="10.85546875" style="682" customWidth="1"/>
    <col min="8195" max="8195" width="10.140625" style="682" customWidth="1"/>
    <col min="8196" max="8196" width="11.5703125" style="682" customWidth="1"/>
    <col min="8197" max="8197" width="11.28515625" style="682" bestFit="1" customWidth="1"/>
    <col min="8198" max="8198" width="9.5703125" style="682" customWidth="1"/>
    <col min="8199" max="8199" width="9.7109375" style="682" bestFit="1" customWidth="1"/>
    <col min="8200" max="8200" width="10.7109375" style="682" customWidth="1"/>
    <col min="8201" max="8201" width="11" style="682" customWidth="1"/>
    <col min="8202" max="8438" width="9.140625" style="682"/>
    <col min="8439" max="8439" width="21.42578125" style="682" customWidth="1"/>
    <col min="8440" max="8440" width="10.7109375" style="682" customWidth="1"/>
    <col min="8441" max="8442" width="9.85546875" style="682" bestFit="1" customWidth="1"/>
    <col min="8443" max="8443" width="9.28515625" style="682" bestFit="1" customWidth="1"/>
    <col min="8444" max="8444" width="10.140625" style="682" customWidth="1"/>
    <col min="8445" max="8445" width="10.85546875" style="682" bestFit="1" customWidth="1"/>
    <col min="8446" max="8446" width="10.7109375" style="682" customWidth="1"/>
    <col min="8447" max="8447" width="11.28515625" style="682" bestFit="1" customWidth="1"/>
    <col min="8448" max="8448" width="10.85546875" style="682" bestFit="1" customWidth="1"/>
    <col min="8449" max="8449" width="9.85546875" style="682" bestFit="1" customWidth="1"/>
    <col min="8450" max="8450" width="10.85546875" style="682" customWidth="1"/>
    <col min="8451" max="8451" width="10.140625" style="682" customWidth="1"/>
    <col min="8452" max="8452" width="11.5703125" style="682" customWidth="1"/>
    <col min="8453" max="8453" width="11.28515625" style="682" bestFit="1" customWidth="1"/>
    <col min="8454" max="8454" width="9.5703125" style="682" customWidth="1"/>
    <col min="8455" max="8455" width="9.7109375" style="682" bestFit="1" customWidth="1"/>
    <col min="8456" max="8456" width="10.7109375" style="682" customWidth="1"/>
    <col min="8457" max="8457" width="11" style="682" customWidth="1"/>
    <col min="8458" max="8694" width="9.140625" style="682"/>
    <col min="8695" max="8695" width="21.42578125" style="682" customWidth="1"/>
    <col min="8696" max="8696" width="10.7109375" style="682" customWidth="1"/>
    <col min="8697" max="8698" width="9.85546875" style="682" bestFit="1" customWidth="1"/>
    <col min="8699" max="8699" width="9.28515625" style="682" bestFit="1" customWidth="1"/>
    <col min="8700" max="8700" width="10.140625" style="682" customWidth="1"/>
    <col min="8701" max="8701" width="10.85546875" style="682" bestFit="1" customWidth="1"/>
    <col min="8702" max="8702" width="10.7109375" style="682" customWidth="1"/>
    <col min="8703" max="8703" width="11.28515625" style="682" bestFit="1" customWidth="1"/>
    <col min="8704" max="8704" width="10.85546875" style="682" bestFit="1" customWidth="1"/>
    <col min="8705" max="8705" width="9.85546875" style="682" bestFit="1" customWidth="1"/>
    <col min="8706" max="8706" width="10.85546875" style="682" customWidth="1"/>
    <col min="8707" max="8707" width="10.140625" style="682" customWidth="1"/>
    <col min="8708" max="8708" width="11.5703125" style="682" customWidth="1"/>
    <col min="8709" max="8709" width="11.28515625" style="682" bestFit="1" customWidth="1"/>
    <col min="8710" max="8710" width="9.5703125" style="682" customWidth="1"/>
    <col min="8711" max="8711" width="9.7109375" style="682" bestFit="1" customWidth="1"/>
    <col min="8712" max="8712" width="10.7109375" style="682" customWidth="1"/>
    <col min="8713" max="8713" width="11" style="682" customWidth="1"/>
    <col min="8714" max="8950" width="9.140625" style="682"/>
    <col min="8951" max="8951" width="21.42578125" style="682" customWidth="1"/>
    <col min="8952" max="8952" width="10.7109375" style="682" customWidth="1"/>
    <col min="8953" max="8954" width="9.85546875" style="682" bestFit="1" customWidth="1"/>
    <col min="8955" max="8955" width="9.28515625" style="682" bestFit="1" customWidth="1"/>
    <col min="8956" max="8956" width="10.140625" style="682" customWidth="1"/>
    <col min="8957" max="8957" width="10.85546875" style="682" bestFit="1" customWidth="1"/>
    <col min="8958" max="8958" width="10.7109375" style="682" customWidth="1"/>
    <col min="8959" max="8959" width="11.28515625" style="682" bestFit="1" customWidth="1"/>
    <col min="8960" max="8960" width="10.85546875" style="682" bestFit="1" customWidth="1"/>
    <col min="8961" max="8961" width="9.85546875" style="682" bestFit="1" customWidth="1"/>
    <col min="8962" max="8962" width="10.85546875" style="682" customWidth="1"/>
    <col min="8963" max="8963" width="10.140625" style="682" customWidth="1"/>
    <col min="8964" max="8964" width="11.5703125" style="682" customWidth="1"/>
    <col min="8965" max="8965" width="11.28515625" style="682" bestFit="1" customWidth="1"/>
    <col min="8966" max="8966" width="9.5703125" style="682" customWidth="1"/>
    <col min="8967" max="8967" width="9.7109375" style="682" bestFit="1" customWidth="1"/>
    <col min="8968" max="8968" width="10.7109375" style="682" customWidth="1"/>
    <col min="8969" max="8969" width="11" style="682" customWidth="1"/>
    <col min="8970" max="9206" width="9.140625" style="682"/>
    <col min="9207" max="9207" width="21.42578125" style="682" customWidth="1"/>
    <col min="9208" max="9208" width="10.7109375" style="682" customWidth="1"/>
    <col min="9209" max="9210" width="9.85546875" style="682" bestFit="1" customWidth="1"/>
    <col min="9211" max="9211" width="9.28515625" style="682" bestFit="1" customWidth="1"/>
    <col min="9212" max="9212" width="10.140625" style="682" customWidth="1"/>
    <col min="9213" max="9213" width="10.85546875" style="682" bestFit="1" customWidth="1"/>
    <col min="9214" max="9214" width="10.7109375" style="682" customWidth="1"/>
    <col min="9215" max="9215" width="11.28515625" style="682" bestFit="1" customWidth="1"/>
    <col min="9216" max="9216" width="10.85546875" style="682" bestFit="1" customWidth="1"/>
    <col min="9217" max="9217" width="9.85546875" style="682" bestFit="1" customWidth="1"/>
    <col min="9218" max="9218" width="10.85546875" style="682" customWidth="1"/>
    <col min="9219" max="9219" width="10.140625" style="682" customWidth="1"/>
    <col min="9220" max="9220" width="11.5703125" style="682" customWidth="1"/>
    <col min="9221" max="9221" width="11.28515625" style="682" bestFit="1" customWidth="1"/>
    <col min="9222" max="9222" width="9.5703125" style="682" customWidth="1"/>
    <col min="9223" max="9223" width="9.7109375" style="682" bestFit="1" customWidth="1"/>
    <col min="9224" max="9224" width="10.7109375" style="682" customWidth="1"/>
    <col min="9225" max="9225" width="11" style="682" customWidth="1"/>
    <col min="9226" max="9462" width="9.140625" style="682"/>
    <col min="9463" max="9463" width="21.42578125" style="682" customWidth="1"/>
    <col min="9464" max="9464" width="10.7109375" style="682" customWidth="1"/>
    <col min="9465" max="9466" width="9.85546875" style="682" bestFit="1" customWidth="1"/>
    <col min="9467" max="9467" width="9.28515625" style="682" bestFit="1" customWidth="1"/>
    <col min="9468" max="9468" width="10.140625" style="682" customWidth="1"/>
    <col min="9469" max="9469" width="10.85546875" style="682" bestFit="1" customWidth="1"/>
    <col min="9470" max="9470" width="10.7109375" style="682" customWidth="1"/>
    <col min="9471" max="9471" width="11.28515625" style="682" bestFit="1" customWidth="1"/>
    <col min="9472" max="9472" width="10.85546875" style="682" bestFit="1" customWidth="1"/>
    <col min="9473" max="9473" width="9.85546875" style="682" bestFit="1" customWidth="1"/>
    <col min="9474" max="9474" width="10.85546875" style="682" customWidth="1"/>
    <col min="9475" max="9475" width="10.140625" style="682" customWidth="1"/>
    <col min="9476" max="9476" width="11.5703125" style="682" customWidth="1"/>
    <col min="9477" max="9477" width="11.28515625" style="682" bestFit="1" customWidth="1"/>
    <col min="9478" max="9478" width="9.5703125" style="682" customWidth="1"/>
    <col min="9479" max="9479" width="9.7109375" style="682" bestFit="1" customWidth="1"/>
    <col min="9480" max="9480" width="10.7109375" style="682" customWidth="1"/>
    <col min="9481" max="9481" width="11" style="682" customWidth="1"/>
    <col min="9482" max="9718" width="9.140625" style="682"/>
    <col min="9719" max="9719" width="21.42578125" style="682" customWidth="1"/>
    <col min="9720" max="9720" width="10.7109375" style="682" customWidth="1"/>
    <col min="9721" max="9722" width="9.85546875" style="682" bestFit="1" customWidth="1"/>
    <col min="9723" max="9723" width="9.28515625" style="682" bestFit="1" customWidth="1"/>
    <col min="9724" max="9724" width="10.140625" style="682" customWidth="1"/>
    <col min="9725" max="9725" width="10.85546875" style="682" bestFit="1" customWidth="1"/>
    <col min="9726" max="9726" width="10.7109375" style="682" customWidth="1"/>
    <col min="9727" max="9727" width="11.28515625" style="682" bestFit="1" customWidth="1"/>
    <col min="9728" max="9728" width="10.85546875" style="682" bestFit="1" customWidth="1"/>
    <col min="9729" max="9729" width="9.85546875" style="682" bestFit="1" customWidth="1"/>
    <col min="9730" max="9730" width="10.85546875" style="682" customWidth="1"/>
    <col min="9731" max="9731" width="10.140625" style="682" customWidth="1"/>
    <col min="9732" max="9732" width="11.5703125" style="682" customWidth="1"/>
    <col min="9733" max="9733" width="11.28515625" style="682" bestFit="1" customWidth="1"/>
    <col min="9734" max="9734" width="9.5703125" style="682" customWidth="1"/>
    <col min="9735" max="9735" width="9.7109375" style="682" bestFit="1" customWidth="1"/>
    <col min="9736" max="9736" width="10.7109375" style="682" customWidth="1"/>
    <col min="9737" max="9737" width="11" style="682" customWidth="1"/>
    <col min="9738" max="9974" width="9.140625" style="682"/>
    <col min="9975" max="9975" width="21.42578125" style="682" customWidth="1"/>
    <col min="9976" max="9976" width="10.7109375" style="682" customWidth="1"/>
    <col min="9977" max="9978" width="9.85546875" style="682" bestFit="1" customWidth="1"/>
    <col min="9979" max="9979" width="9.28515625" style="682" bestFit="1" customWidth="1"/>
    <col min="9980" max="9980" width="10.140625" style="682" customWidth="1"/>
    <col min="9981" max="9981" width="10.85546875" style="682" bestFit="1" customWidth="1"/>
    <col min="9982" max="9982" width="10.7109375" style="682" customWidth="1"/>
    <col min="9983" max="9983" width="11.28515625" style="682" bestFit="1" customWidth="1"/>
    <col min="9984" max="9984" width="10.85546875" style="682" bestFit="1" customWidth="1"/>
    <col min="9985" max="9985" width="9.85546875" style="682" bestFit="1" customWidth="1"/>
    <col min="9986" max="9986" width="10.85546875" style="682" customWidth="1"/>
    <col min="9987" max="9987" width="10.140625" style="682" customWidth="1"/>
    <col min="9988" max="9988" width="11.5703125" style="682" customWidth="1"/>
    <col min="9989" max="9989" width="11.28515625" style="682" bestFit="1" customWidth="1"/>
    <col min="9990" max="9990" width="9.5703125" style="682" customWidth="1"/>
    <col min="9991" max="9991" width="9.7109375" style="682" bestFit="1" customWidth="1"/>
    <col min="9992" max="9992" width="10.7109375" style="682" customWidth="1"/>
    <col min="9993" max="9993" width="11" style="682" customWidth="1"/>
    <col min="9994" max="10230" width="9.140625" style="682"/>
    <col min="10231" max="10231" width="21.42578125" style="682" customWidth="1"/>
    <col min="10232" max="10232" width="10.7109375" style="682" customWidth="1"/>
    <col min="10233" max="10234" width="9.85546875" style="682" bestFit="1" customWidth="1"/>
    <col min="10235" max="10235" width="9.28515625" style="682" bestFit="1" customWidth="1"/>
    <col min="10236" max="10236" width="10.140625" style="682" customWidth="1"/>
    <col min="10237" max="10237" width="10.85546875" style="682" bestFit="1" customWidth="1"/>
    <col min="10238" max="10238" width="10.7109375" style="682" customWidth="1"/>
    <col min="10239" max="10239" width="11.28515625" style="682" bestFit="1" customWidth="1"/>
    <col min="10240" max="10240" width="10.85546875" style="682" bestFit="1" customWidth="1"/>
    <col min="10241" max="10241" width="9.85546875" style="682" bestFit="1" customWidth="1"/>
    <col min="10242" max="10242" width="10.85546875" style="682" customWidth="1"/>
    <col min="10243" max="10243" width="10.140625" style="682" customWidth="1"/>
    <col min="10244" max="10244" width="11.5703125" style="682" customWidth="1"/>
    <col min="10245" max="10245" width="11.28515625" style="682" bestFit="1" customWidth="1"/>
    <col min="10246" max="10246" width="9.5703125" style="682" customWidth="1"/>
    <col min="10247" max="10247" width="9.7109375" style="682" bestFit="1" customWidth="1"/>
    <col min="10248" max="10248" width="10.7109375" style="682" customWidth="1"/>
    <col min="10249" max="10249" width="11" style="682" customWidth="1"/>
    <col min="10250" max="10486" width="9.140625" style="682"/>
    <col min="10487" max="10487" width="21.42578125" style="682" customWidth="1"/>
    <col min="10488" max="10488" width="10.7109375" style="682" customWidth="1"/>
    <col min="10489" max="10490" width="9.85546875" style="682" bestFit="1" customWidth="1"/>
    <col min="10491" max="10491" width="9.28515625" style="682" bestFit="1" customWidth="1"/>
    <col min="10492" max="10492" width="10.140625" style="682" customWidth="1"/>
    <col min="10493" max="10493" width="10.85546875" style="682" bestFit="1" customWidth="1"/>
    <col min="10494" max="10494" width="10.7109375" style="682" customWidth="1"/>
    <col min="10495" max="10495" width="11.28515625" style="682" bestFit="1" customWidth="1"/>
    <col min="10496" max="10496" width="10.85546875" style="682" bestFit="1" customWidth="1"/>
    <col min="10497" max="10497" width="9.85546875" style="682" bestFit="1" customWidth="1"/>
    <col min="10498" max="10498" width="10.85546875" style="682" customWidth="1"/>
    <col min="10499" max="10499" width="10.140625" style="682" customWidth="1"/>
    <col min="10500" max="10500" width="11.5703125" style="682" customWidth="1"/>
    <col min="10501" max="10501" width="11.28515625" style="682" bestFit="1" customWidth="1"/>
    <col min="10502" max="10502" width="9.5703125" style="682" customWidth="1"/>
    <col min="10503" max="10503" width="9.7109375" style="682" bestFit="1" customWidth="1"/>
    <col min="10504" max="10504" width="10.7109375" style="682" customWidth="1"/>
    <col min="10505" max="10505" width="11" style="682" customWidth="1"/>
    <col min="10506" max="10742" width="9.140625" style="682"/>
    <col min="10743" max="10743" width="21.42578125" style="682" customWidth="1"/>
    <col min="10744" max="10744" width="10.7109375" style="682" customWidth="1"/>
    <col min="10745" max="10746" width="9.85546875" style="682" bestFit="1" customWidth="1"/>
    <col min="10747" max="10747" width="9.28515625" style="682" bestFit="1" customWidth="1"/>
    <col min="10748" max="10748" width="10.140625" style="682" customWidth="1"/>
    <col min="10749" max="10749" width="10.85546875" style="682" bestFit="1" customWidth="1"/>
    <col min="10750" max="10750" width="10.7109375" style="682" customWidth="1"/>
    <col min="10751" max="10751" width="11.28515625" style="682" bestFit="1" customWidth="1"/>
    <col min="10752" max="10752" width="10.85546875" style="682" bestFit="1" customWidth="1"/>
    <col min="10753" max="10753" width="9.85546875" style="682" bestFit="1" customWidth="1"/>
    <col min="10754" max="10754" width="10.85546875" style="682" customWidth="1"/>
    <col min="10755" max="10755" width="10.140625" style="682" customWidth="1"/>
    <col min="10756" max="10756" width="11.5703125" style="682" customWidth="1"/>
    <col min="10757" max="10757" width="11.28515625" style="682" bestFit="1" customWidth="1"/>
    <col min="10758" max="10758" width="9.5703125" style="682" customWidth="1"/>
    <col min="10759" max="10759" width="9.7109375" style="682" bestFit="1" customWidth="1"/>
    <col min="10760" max="10760" width="10.7109375" style="682" customWidth="1"/>
    <col min="10761" max="10761" width="11" style="682" customWidth="1"/>
    <col min="10762" max="10998" width="9.140625" style="682"/>
    <col min="10999" max="10999" width="21.42578125" style="682" customWidth="1"/>
    <col min="11000" max="11000" width="10.7109375" style="682" customWidth="1"/>
    <col min="11001" max="11002" width="9.85546875" style="682" bestFit="1" customWidth="1"/>
    <col min="11003" max="11003" width="9.28515625" style="682" bestFit="1" customWidth="1"/>
    <col min="11004" max="11004" width="10.140625" style="682" customWidth="1"/>
    <col min="11005" max="11005" width="10.85546875" style="682" bestFit="1" customWidth="1"/>
    <col min="11006" max="11006" width="10.7109375" style="682" customWidth="1"/>
    <col min="11007" max="11007" width="11.28515625" style="682" bestFit="1" customWidth="1"/>
    <col min="11008" max="11008" width="10.85546875" style="682" bestFit="1" customWidth="1"/>
    <col min="11009" max="11009" width="9.85546875" style="682" bestFit="1" customWidth="1"/>
    <col min="11010" max="11010" width="10.85546875" style="682" customWidth="1"/>
    <col min="11011" max="11011" width="10.140625" style="682" customWidth="1"/>
    <col min="11012" max="11012" width="11.5703125" style="682" customWidth="1"/>
    <col min="11013" max="11013" width="11.28515625" style="682" bestFit="1" customWidth="1"/>
    <col min="11014" max="11014" width="9.5703125" style="682" customWidth="1"/>
    <col min="11015" max="11015" width="9.7109375" style="682" bestFit="1" customWidth="1"/>
    <col min="11016" max="11016" width="10.7109375" style="682" customWidth="1"/>
    <col min="11017" max="11017" width="11" style="682" customWidth="1"/>
    <col min="11018" max="11254" width="9.140625" style="682"/>
    <col min="11255" max="11255" width="21.42578125" style="682" customWidth="1"/>
    <col min="11256" max="11256" width="10.7109375" style="682" customWidth="1"/>
    <col min="11257" max="11258" width="9.85546875" style="682" bestFit="1" customWidth="1"/>
    <col min="11259" max="11259" width="9.28515625" style="682" bestFit="1" customWidth="1"/>
    <col min="11260" max="11260" width="10.140625" style="682" customWidth="1"/>
    <col min="11261" max="11261" width="10.85546875" style="682" bestFit="1" customWidth="1"/>
    <col min="11262" max="11262" width="10.7109375" style="682" customWidth="1"/>
    <col min="11263" max="11263" width="11.28515625" style="682" bestFit="1" customWidth="1"/>
    <col min="11264" max="11264" width="10.85546875" style="682" bestFit="1" customWidth="1"/>
    <col min="11265" max="11265" width="9.85546875" style="682" bestFit="1" customWidth="1"/>
    <col min="11266" max="11266" width="10.85546875" style="682" customWidth="1"/>
    <col min="11267" max="11267" width="10.140625" style="682" customWidth="1"/>
    <col min="11268" max="11268" width="11.5703125" style="682" customWidth="1"/>
    <col min="11269" max="11269" width="11.28515625" style="682" bestFit="1" customWidth="1"/>
    <col min="11270" max="11270" width="9.5703125" style="682" customWidth="1"/>
    <col min="11271" max="11271" width="9.7109375" style="682" bestFit="1" customWidth="1"/>
    <col min="11272" max="11272" width="10.7109375" style="682" customWidth="1"/>
    <col min="11273" max="11273" width="11" style="682" customWidth="1"/>
    <col min="11274" max="11510" width="9.140625" style="682"/>
    <col min="11511" max="11511" width="21.42578125" style="682" customWidth="1"/>
    <col min="11512" max="11512" width="10.7109375" style="682" customWidth="1"/>
    <col min="11513" max="11514" width="9.85546875" style="682" bestFit="1" customWidth="1"/>
    <col min="11515" max="11515" width="9.28515625" style="682" bestFit="1" customWidth="1"/>
    <col min="11516" max="11516" width="10.140625" style="682" customWidth="1"/>
    <col min="11517" max="11517" width="10.85546875" style="682" bestFit="1" customWidth="1"/>
    <col min="11518" max="11518" width="10.7109375" style="682" customWidth="1"/>
    <col min="11519" max="11519" width="11.28515625" style="682" bestFit="1" customWidth="1"/>
    <col min="11520" max="11520" width="10.85546875" style="682" bestFit="1" customWidth="1"/>
    <col min="11521" max="11521" width="9.85546875" style="682" bestFit="1" customWidth="1"/>
    <col min="11522" max="11522" width="10.85546875" style="682" customWidth="1"/>
    <col min="11523" max="11523" width="10.140625" style="682" customWidth="1"/>
    <col min="11524" max="11524" width="11.5703125" style="682" customWidth="1"/>
    <col min="11525" max="11525" width="11.28515625" style="682" bestFit="1" customWidth="1"/>
    <col min="11526" max="11526" width="9.5703125" style="682" customWidth="1"/>
    <col min="11527" max="11527" width="9.7109375" style="682" bestFit="1" customWidth="1"/>
    <col min="11528" max="11528" width="10.7109375" style="682" customWidth="1"/>
    <col min="11529" max="11529" width="11" style="682" customWidth="1"/>
    <col min="11530" max="11766" width="9.140625" style="682"/>
    <col min="11767" max="11767" width="21.42578125" style="682" customWidth="1"/>
    <col min="11768" max="11768" width="10.7109375" style="682" customWidth="1"/>
    <col min="11769" max="11770" width="9.85546875" style="682" bestFit="1" customWidth="1"/>
    <col min="11771" max="11771" width="9.28515625" style="682" bestFit="1" customWidth="1"/>
    <col min="11772" max="11772" width="10.140625" style="682" customWidth="1"/>
    <col min="11773" max="11773" width="10.85546875" style="682" bestFit="1" customWidth="1"/>
    <col min="11774" max="11774" width="10.7109375" style="682" customWidth="1"/>
    <col min="11775" max="11775" width="11.28515625" style="682" bestFit="1" customWidth="1"/>
    <col min="11776" max="11776" width="10.85546875" style="682" bestFit="1" customWidth="1"/>
    <col min="11777" max="11777" width="9.85546875" style="682" bestFit="1" customWidth="1"/>
    <col min="11778" max="11778" width="10.85546875" style="682" customWidth="1"/>
    <col min="11779" max="11779" width="10.140625" style="682" customWidth="1"/>
    <col min="11780" max="11780" width="11.5703125" style="682" customWidth="1"/>
    <col min="11781" max="11781" width="11.28515625" style="682" bestFit="1" customWidth="1"/>
    <col min="11782" max="11782" width="9.5703125" style="682" customWidth="1"/>
    <col min="11783" max="11783" width="9.7109375" style="682" bestFit="1" customWidth="1"/>
    <col min="11784" max="11784" width="10.7109375" style="682" customWidth="1"/>
    <col min="11785" max="11785" width="11" style="682" customWidth="1"/>
    <col min="11786" max="12022" width="9.140625" style="682"/>
    <col min="12023" max="12023" width="21.42578125" style="682" customWidth="1"/>
    <col min="12024" max="12024" width="10.7109375" style="682" customWidth="1"/>
    <col min="12025" max="12026" width="9.85546875" style="682" bestFit="1" customWidth="1"/>
    <col min="12027" max="12027" width="9.28515625" style="682" bestFit="1" customWidth="1"/>
    <col min="12028" max="12028" width="10.140625" style="682" customWidth="1"/>
    <col min="12029" max="12029" width="10.85546875" style="682" bestFit="1" customWidth="1"/>
    <col min="12030" max="12030" width="10.7109375" style="682" customWidth="1"/>
    <col min="12031" max="12031" width="11.28515625" style="682" bestFit="1" customWidth="1"/>
    <col min="12032" max="12032" width="10.85546875" style="682" bestFit="1" customWidth="1"/>
    <col min="12033" max="12033" width="9.85546875" style="682" bestFit="1" customWidth="1"/>
    <col min="12034" max="12034" width="10.85546875" style="682" customWidth="1"/>
    <col min="12035" max="12035" width="10.140625" style="682" customWidth="1"/>
    <col min="12036" max="12036" width="11.5703125" style="682" customWidth="1"/>
    <col min="12037" max="12037" width="11.28515625" style="682" bestFit="1" customWidth="1"/>
    <col min="12038" max="12038" width="9.5703125" style="682" customWidth="1"/>
    <col min="12039" max="12039" width="9.7109375" style="682" bestFit="1" customWidth="1"/>
    <col min="12040" max="12040" width="10.7109375" style="682" customWidth="1"/>
    <col min="12041" max="12041" width="11" style="682" customWidth="1"/>
    <col min="12042" max="12278" width="9.140625" style="682"/>
    <col min="12279" max="12279" width="21.42578125" style="682" customWidth="1"/>
    <col min="12280" max="12280" width="10.7109375" style="682" customWidth="1"/>
    <col min="12281" max="12282" width="9.85546875" style="682" bestFit="1" customWidth="1"/>
    <col min="12283" max="12283" width="9.28515625" style="682" bestFit="1" customWidth="1"/>
    <col min="12284" max="12284" width="10.140625" style="682" customWidth="1"/>
    <col min="12285" max="12285" width="10.85546875" style="682" bestFit="1" customWidth="1"/>
    <col min="12286" max="12286" width="10.7109375" style="682" customWidth="1"/>
    <col min="12287" max="12287" width="11.28515625" style="682" bestFit="1" customWidth="1"/>
    <col min="12288" max="12288" width="10.85546875" style="682" bestFit="1" customWidth="1"/>
    <col min="12289" max="12289" width="9.85546875" style="682" bestFit="1" customWidth="1"/>
    <col min="12290" max="12290" width="10.85546875" style="682" customWidth="1"/>
    <col min="12291" max="12291" width="10.140625" style="682" customWidth="1"/>
    <col min="12292" max="12292" width="11.5703125" style="682" customWidth="1"/>
    <col min="12293" max="12293" width="11.28515625" style="682" bestFit="1" customWidth="1"/>
    <col min="12294" max="12294" width="9.5703125" style="682" customWidth="1"/>
    <col min="12295" max="12295" width="9.7109375" style="682" bestFit="1" customWidth="1"/>
    <col min="12296" max="12296" width="10.7109375" style="682" customWidth="1"/>
    <col min="12297" max="12297" width="11" style="682" customWidth="1"/>
    <col min="12298" max="12534" width="9.140625" style="682"/>
    <col min="12535" max="12535" width="21.42578125" style="682" customWidth="1"/>
    <col min="12536" max="12536" width="10.7109375" style="682" customWidth="1"/>
    <col min="12537" max="12538" width="9.85546875" style="682" bestFit="1" customWidth="1"/>
    <col min="12539" max="12539" width="9.28515625" style="682" bestFit="1" customWidth="1"/>
    <col min="12540" max="12540" width="10.140625" style="682" customWidth="1"/>
    <col min="12541" max="12541" width="10.85546875" style="682" bestFit="1" customWidth="1"/>
    <col min="12542" max="12542" width="10.7109375" style="682" customWidth="1"/>
    <col min="12543" max="12543" width="11.28515625" style="682" bestFit="1" customWidth="1"/>
    <col min="12544" max="12544" width="10.85546875" style="682" bestFit="1" customWidth="1"/>
    <col min="12545" max="12545" width="9.85546875" style="682" bestFit="1" customWidth="1"/>
    <col min="12546" max="12546" width="10.85546875" style="682" customWidth="1"/>
    <col min="12547" max="12547" width="10.140625" style="682" customWidth="1"/>
    <col min="12548" max="12548" width="11.5703125" style="682" customWidth="1"/>
    <col min="12549" max="12549" width="11.28515625" style="682" bestFit="1" customWidth="1"/>
    <col min="12550" max="12550" width="9.5703125" style="682" customWidth="1"/>
    <col min="12551" max="12551" width="9.7109375" style="682" bestFit="1" customWidth="1"/>
    <col min="12552" max="12552" width="10.7109375" style="682" customWidth="1"/>
    <col min="12553" max="12553" width="11" style="682" customWidth="1"/>
    <col min="12554" max="12790" width="9.140625" style="682"/>
    <col min="12791" max="12791" width="21.42578125" style="682" customWidth="1"/>
    <col min="12792" max="12792" width="10.7109375" style="682" customWidth="1"/>
    <col min="12793" max="12794" width="9.85546875" style="682" bestFit="1" customWidth="1"/>
    <col min="12795" max="12795" width="9.28515625" style="682" bestFit="1" customWidth="1"/>
    <col min="12796" max="12796" width="10.140625" style="682" customWidth="1"/>
    <col min="12797" max="12797" width="10.85546875" style="682" bestFit="1" customWidth="1"/>
    <col min="12798" max="12798" width="10.7109375" style="682" customWidth="1"/>
    <col min="12799" max="12799" width="11.28515625" style="682" bestFit="1" customWidth="1"/>
    <col min="12800" max="12800" width="10.85546875" style="682" bestFit="1" customWidth="1"/>
    <col min="12801" max="12801" width="9.85546875" style="682" bestFit="1" customWidth="1"/>
    <col min="12802" max="12802" width="10.85546875" style="682" customWidth="1"/>
    <col min="12803" max="12803" width="10.140625" style="682" customWidth="1"/>
    <col min="12804" max="12804" width="11.5703125" style="682" customWidth="1"/>
    <col min="12805" max="12805" width="11.28515625" style="682" bestFit="1" customWidth="1"/>
    <col min="12806" max="12806" width="9.5703125" style="682" customWidth="1"/>
    <col min="12807" max="12807" width="9.7109375" style="682" bestFit="1" customWidth="1"/>
    <col min="12808" max="12808" width="10.7109375" style="682" customWidth="1"/>
    <col min="12809" max="12809" width="11" style="682" customWidth="1"/>
    <col min="12810" max="13046" width="9.140625" style="682"/>
    <col min="13047" max="13047" width="21.42578125" style="682" customWidth="1"/>
    <col min="13048" max="13048" width="10.7109375" style="682" customWidth="1"/>
    <col min="13049" max="13050" width="9.85546875" style="682" bestFit="1" customWidth="1"/>
    <col min="13051" max="13051" width="9.28515625" style="682" bestFit="1" customWidth="1"/>
    <col min="13052" max="13052" width="10.140625" style="682" customWidth="1"/>
    <col min="13053" max="13053" width="10.85546875" style="682" bestFit="1" customWidth="1"/>
    <col min="13054" max="13054" width="10.7109375" style="682" customWidth="1"/>
    <col min="13055" max="13055" width="11.28515625" style="682" bestFit="1" customWidth="1"/>
    <col min="13056" max="13056" width="10.85546875" style="682" bestFit="1" customWidth="1"/>
    <col min="13057" max="13057" width="9.85546875" style="682" bestFit="1" customWidth="1"/>
    <col min="13058" max="13058" width="10.85546875" style="682" customWidth="1"/>
    <col min="13059" max="13059" width="10.140625" style="682" customWidth="1"/>
    <col min="13060" max="13060" width="11.5703125" style="682" customWidth="1"/>
    <col min="13061" max="13061" width="11.28515625" style="682" bestFit="1" customWidth="1"/>
    <col min="13062" max="13062" width="9.5703125" style="682" customWidth="1"/>
    <col min="13063" max="13063" width="9.7109375" style="682" bestFit="1" customWidth="1"/>
    <col min="13064" max="13064" width="10.7109375" style="682" customWidth="1"/>
    <col min="13065" max="13065" width="11" style="682" customWidth="1"/>
    <col min="13066" max="13302" width="9.140625" style="682"/>
    <col min="13303" max="13303" width="21.42578125" style="682" customWidth="1"/>
    <col min="13304" max="13304" width="10.7109375" style="682" customWidth="1"/>
    <col min="13305" max="13306" width="9.85546875" style="682" bestFit="1" customWidth="1"/>
    <col min="13307" max="13307" width="9.28515625" style="682" bestFit="1" customWidth="1"/>
    <col min="13308" max="13308" width="10.140625" style="682" customWidth="1"/>
    <col min="13309" max="13309" width="10.85546875" style="682" bestFit="1" customWidth="1"/>
    <col min="13310" max="13310" width="10.7109375" style="682" customWidth="1"/>
    <col min="13311" max="13311" width="11.28515625" style="682" bestFit="1" customWidth="1"/>
    <col min="13312" max="13312" width="10.85546875" style="682" bestFit="1" customWidth="1"/>
    <col min="13313" max="13313" width="9.85546875" style="682" bestFit="1" customWidth="1"/>
    <col min="13314" max="13314" width="10.85546875" style="682" customWidth="1"/>
    <col min="13315" max="13315" width="10.140625" style="682" customWidth="1"/>
    <col min="13316" max="13316" width="11.5703125" style="682" customWidth="1"/>
    <col min="13317" max="13317" width="11.28515625" style="682" bestFit="1" customWidth="1"/>
    <col min="13318" max="13318" width="9.5703125" style="682" customWidth="1"/>
    <col min="13319" max="13319" width="9.7109375" style="682" bestFit="1" customWidth="1"/>
    <col min="13320" max="13320" width="10.7109375" style="682" customWidth="1"/>
    <col min="13321" max="13321" width="11" style="682" customWidth="1"/>
    <col min="13322" max="13558" width="9.140625" style="682"/>
    <col min="13559" max="13559" width="21.42578125" style="682" customWidth="1"/>
    <col min="13560" max="13560" width="10.7109375" style="682" customWidth="1"/>
    <col min="13561" max="13562" width="9.85546875" style="682" bestFit="1" customWidth="1"/>
    <col min="13563" max="13563" width="9.28515625" style="682" bestFit="1" customWidth="1"/>
    <col min="13564" max="13564" width="10.140625" style="682" customWidth="1"/>
    <col min="13565" max="13565" width="10.85546875" style="682" bestFit="1" customWidth="1"/>
    <col min="13566" max="13566" width="10.7109375" style="682" customWidth="1"/>
    <col min="13567" max="13567" width="11.28515625" style="682" bestFit="1" customWidth="1"/>
    <col min="13568" max="13568" width="10.85546875" style="682" bestFit="1" customWidth="1"/>
    <col min="13569" max="13569" width="9.85546875" style="682" bestFit="1" customWidth="1"/>
    <col min="13570" max="13570" width="10.85546875" style="682" customWidth="1"/>
    <col min="13571" max="13571" width="10.140625" style="682" customWidth="1"/>
    <col min="13572" max="13572" width="11.5703125" style="682" customWidth="1"/>
    <col min="13573" max="13573" width="11.28515625" style="682" bestFit="1" customWidth="1"/>
    <col min="13574" max="13574" width="9.5703125" style="682" customWidth="1"/>
    <col min="13575" max="13575" width="9.7109375" style="682" bestFit="1" customWidth="1"/>
    <col min="13576" max="13576" width="10.7109375" style="682" customWidth="1"/>
    <col min="13577" max="13577" width="11" style="682" customWidth="1"/>
    <col min="13578" max="13814" width="9.140625" style="682"/>
    <col min="13815" max="13815" width="21.42578125" style="682" customWidth="1"/>
    <col min="13816" max="13816" width="10.7109375" style="682" customWidth="1"/>
    <col min="13817" max="13818" width="9.85546875" style="682" bestFit="1" customWidth="1"/>
    <col min="13819" max="13819" width="9.28515625" style="682" bestFit="1" customWidth="1"/>
    <col min="13820" max="13820" width="10.140625" style="682" customWidth="1"/>
    <col min="13821" max="13821" width="10.85546875" style="682" bestFit="1" customWidth="1"/>
    <col min="13822" max="13822" width="10.7109375" style="682" customWidth="1"/>
    <col min="13823" max="13823" width="11.28515625" style="682" bestFit="1" customWidth="1"/>
    <col min="13824" max="13824" width="10.85546875" style="682" bestFit="1" customWidth="1"/>
    <col min="13825" max="13825" width="9.85546875" style="682" bestFit="1" customWidth="1"/>
    <col min="13826" max="13826" width="10.85546875" style="682" customWidth="1"/>
    <col min="13827" max="13827" width="10.140625" style="682" customWidth="1"/>
    <col min="13828" max="13828" width="11.5703125" style="682" customWidth="1"/>
    <col min="13829" max="13829" width="11.28515625" style="682" bestFit="1" customWidth="1"/>
    <col min="13830" max="13830" width="9.5703125" style="682" customWidth="1"/>
    <col min="13831" max="13831" width="9.7109375" style="682" bestFit="1" customWidth="1"/>
    <col min="13832" max="13832" width="10.7109375" style="682" customWidth="1"/>
    <col min="13833" max="13833" width="11" style="682" customWidth="1"/>
    <col min="13834" max="14070" width="9.140625" style="682"/>
    <col min="14071" max="14071" width="21.42578125" style="682" customWidth="1"/>
    <col min="14072" max="14072" width="10.7109375" style="682" customWidth="1"/>
    <col min="14073" max="14074" width="9.85546875" style="682" bestFit="1" customWidth="1"/>
    <col min="14075" max="14075" width="9.28515625" style="682" bestFit="1" customWidth="1"/>
    <col min="14076" max="14076" width="10.140625" style="682" customWidth="1"/>
    <col min="14077" max="14077" width="10.85546875" style="682" bestFit="1" customWidth="1"/>
    <col min="14078" max="14078" width="10.7109375" style="682" customWidth="1"/>
    <col min="14079" max="14079" width="11.28515625" style="682" bestFit="1" customWidth="1"/>
    <col min="14080" max="14080" width="10.85546875" style="682" bestFit="1" customWidth="1"/>
    <col min="14081" max="14081" width="9.85546875" style="682" bestFit="1" customWidth="1"/>
    <col min="14082" max="14082" width="10.85546875" style="682" customWidth="1"/>
    <col min="14083" max="14083" width="10.140625" style="682" customWidth="1"/>
    <col min="14084" max="14084" width="11.5703125" style="682" customWidth="1"/>
    <col min="14085" max="14085" width="11.28515625" style="682" bestFit="1" customWidth="1"/>
    <col min="14086" max="14086" width="9.5703125" style="682" customWidth="1"/>
    <col min="14087" max="14087" width="9.7109375" style="682" bestFit="1" customWidth="1"/>
    <col min="14088" max="14088" width="10.7109375" style="682" customWidth="1"/>
    <col min="14089" max="14089" width="11" style="682" customWidth="1"/>
    <col min="14090" max="14326" width="9.140625" style="682"/>
    <col min="14327" max="14327" width="21.42578125" style="682" customWidth="1"/>
    <col min="14328" max="14328" width="10.7109375" style="682" customWidth="1"/>
    <col min="14329" max="14330" width="9.85546875" style="682" bestFit="1" customWidth="1"/>
    <col min="14331" max="14331" width="9.28515625" style="682" bestFit="1" customWidth="1"/>
    <col min="14332" max="14332" width="10.140625" style="682" customWidth="1"/>
    <col min="14333" max="14333" width="10.85546875" style="682" bestFit="1" customWidth="1"/>
    <col min="14334" max="14334" width="10.7109375" style="682" customWidth="1"/>
    <col min="14335" max="14335" width="11.28515625" style="682" bestFit="1" customWidth="1"/>
    <col min="14336" max="14336" width="10.85546875" style="682" bestFit="1" customWidth="1"/>
    <col min="14337" max="14337" width="9.85546875" style="682" bestFit="1" customWidth="1"/>
    <col min="14338" max="14338" width="10.85546875" style="682" customWidth="1"/>
    <col min="14339" max="14339" width="10.140625" style="682" customWidth="1"/>
    <col min="14340" max="14340" width="11.5703125" style="682" customWidth="1"/>
    <col min="14341" max="14341" width="11.28515625" style="682" bestFit="1" customWidth="1"/>
    <col min="14342" max="14342" width="9.5703125" style="682" customWidth="1"/>
    <col min="14343" max="14343" width="9.7109375" style="682" bestFit="1" customWidth="1"/>
    <col min="14344" max="14344" width="10.7109375" style="682" customWidth="1"/>
    <col min="14345" max="14345" width="11" style="682" customWidth="1"/>
    <col min="14346" max="14582" width="9.140625" style="682"/>
    <col min="14583" max="14583" width="21.42578125" style="682" customWidth="1"/>
    <col min="14584" max="14584" width="10.7109375" style="682" customWidth="1"/>
    <col min="14585" max="14586" width="9.85546875" style="682" bestFit="1" customWidth="1"/>
    <col min="14587" max="14587" width="9.28515625" style="682" bestFit="1" customWidth="1"/>
    <col min="14588" max="14588" width="10.140625" style="682" customWidth="1"/>
    <col min="14589" max="14589" width="10.85546875" style="682" bestFit="1" customWidth="1"/>
    <col min="14590" max="14590" width="10.7109375" style="682" customWidth="1"/>
    <col min="14591" max="14591" width="11.28515625" style="682" bestFit="1" customWidth="1"/>
    <col min="14592" max="14592" width="10.85546875" style="682" bestFit="1" customWidth="1"/>
    <col min="14593" max="14593" width="9.85546875" style="682" bestFit="1" customWidth="1"/>
    <col min="14594" max="14594" width="10.85546875" style="682" customWidth="1"/>
    <col min="14595" max="14595" width="10.140625" style="682" customWidth="1"/>
    <col min="14596" max="14596" width="11.5703125" style="682" customWidth="1"/>
    <col min="14597" max="14597" width="11.28515625" style="682" bestFit="1" customWidth="1"/>
    <col min="14598" max="14598" width="9.5703125" style="682" customWidth="1"/>
    <col min="14599" max="14599" width="9.7109375" style="682" bestFit="1" customWidth="1"/>
    <col min="14600" max="14600" width="10.7109375" style="682" customWidth="1"/>
    <col min="14601" max="14601" width="11" style="682" customWidth="1"/>
    <col min="14602" max="14838" width="9.140625" style="682"/>
    <col min="14839" max="14839" width="21.42578125" style="682" customWidth="1"/>
    <col min="14840" max="14840" width="10.7109375" style="682" customWidth="1"/>
    <col min="14841" max="14842" width="9.85546875" style="682" bestFit="1" customWidth="1"/>
    <col min="14843" max="14843" width="9.28515625" style="682" bestFit="1" customWidth="1"/>
    <col min="14844" max="14844" width="10.140625" style="682" customWidth="1"/>
    <col min="14845" max="14845" width="10.85546875" style="682" bestFit="1" customWidth="1"/>
    <col min="14846" max="14846" width="10.7109375" style="682" customWidth="1"/>
    <col min="14847" max="14847" width="11.28515625" style="682" bestFit="1" customWidth="1"/>
    <col min="14848" max="14848" width="10.85546875" style="682" bestFit="1" customWidth="1"/>
    <col min="14849" max="14849" width="9.85546875" style="682" bestFit="1" customWidth="1"/>
    <col min="14850" max="14850" width="10.85546875" style="682" customWidth="1"/>
    <col min="14851" max="14851" width="10.140625" style="682" customWidth="1"/>
    <col min="14852" max="14852" width="11.5703125" style="682" customWidth="1"/>
    <col min="14853" max="14853" width="11.28515625" style="682" bestFit="1" customWidth="1"/>
    <col min="14854" max="14854" width="9.5703125" style="682" customWidth="1"/>
    <col min="14855" max="14855" width="9.7109375" style="682" bestFit="1" customWidth="1"/>
    <col min="14856" max="14856" width="10.7109375" style="682" customWidth="1"/>
    <col min="14857" max="14857" width="11" style="682" customWidth="1"/>
    <col min="14858" max="15094" width="9.140625" style="682"/>
    <col min="15095" max="15095" width="21.42578125" style="682" customWidth="1"/>
    <col min="15096" max="15096" width="10.7109375" style="682" customWidth="1"/>
    <col min="15097" max="15098" width="9.85546875" style="682" bestFit="1" customWidth="1"/>
    <col min="15099" max="15099" width="9.28515625" style="682" bestFit="1" customWidth="1"/>
    <col min="15100" max="15100" width="10.140625" style="682" customWidth="1"/>
    <col min="15101" max="15101" width="10.85546875" style="682" bestFit="1" customWidth="1"/>
    <col min="15102" max="15102" width="10.7109375" style="682" customWidth="1"/>
    <col min="15103" max="15103" width="11.28515625" style="682" bestFit="1" customWidth="1"/>
    <col min="15104" max="15104" width="10.85546875" style="682" bestFit="1" customWidth="1"/>
    <col min="15105" max="15105" width="9.85546875" style="682" bestFit="1" customWidth="1"/>
    <col min="15106" max="15106" width="10.85546875" style="682" customWidth="1"/>
    <col min="15107" max="15107" width="10.140625" style="682" customWidth="1"/>
    <col min="15108" max="15108" width="11.5703125" style="682" customWidth="1"/>
    <col min="15109" max="15109" width="11.28515625" style="682" bestFit="1" customWidth="1"/>
    <col min="15110" max="15110" width="9.5703125" style="682" customWidth="1"/>
    <col min="15111" max="15111" width="9.7109375" style="682" bestFit="1" customWidth="1"/>
    <col min="15112" max="15112" width="10.7109375" style="682" customWidth="1"/>
    <col min="15113" max="15113" width="11" style="682" customWidth="1"/>
    <col min="15114" max="15350" width="9.140625" style="682"/>
    <col min="15351" max="15351" width="21.42578125" style="682" customWidth="1"/>
    <col min="15352" max="15352" width="10.7109375" style="682" customWidth="1"/>
    <col min="15353" max="15354" width="9.85546875" style="682" bestFit="1" customWidth="1"/>
    <col min="15355" max="15355" width="9.28515625" style="682" bestFit="1" customWidth="1"/>
    <col min="15356" max="15356" width="10.140625" style="682" customWidth="1"/>
    <col min="15357" max="15357" width="10.85546875" style="682" bestFit="1" customWidth="1"/>
    <col min="15358" max="15358" width="10.7109375" style="682" customWidth="1"/>
    <col min="15359" max="15359" width="11.28515625" style="682" bestFit="1" customWidth="1"/>
    <col min="15360" max="15360" width="10.85546875" style="682" bestFit="1" customWidth="1"/>
    <col min="15361" max="15361" width="9.85546875" style="682" bestFit="1" customWidth="1"/>
    <col min="15362" max="15362" width="10.85546875" style="682" customWidth="1"/>
    <col min="15363" max="15363" width="10.140625" style="682" customWidth="1"/>
    <col min="15364" max="15364" width="11.5703125" style="682" customWidth="1"/>
    <col min="15365" max="15365" width="11.28515625" style="682" bestFit="1" customWidth="1"/>
    <col min="15366" max="15366" width="9.5703125" style="682" customWidth="1"/>
    <col min="15367" max="15367" width="9.7109375" style="682" bestFit="1" customWidth="1"/>
    <col min="15368" max="15368" width="10.7109375" style="682" customWidth="1"/>
    <col min="15369" max="15369" width="11" style="682" customWidth="1"/>
    <col min="15370" max="15606" width="9.140625" style="682"/>
    <col min="15607" max="15607" width="21.42578125" style="682" customWidth="1"/>
    <col min="15608" max="15608" width="10.7109375" style="682" customWidth="1"/>
    <col min="15609" max="15610" width="9.85546875" style="682" bestFit="1" customWidth="1"/>
    <col min="15611" max="15611" width="9.28515625" style="682" bestFit="1" customWidth="1"/>
    <col min="15612" max="15612" width="10.140625" style="682" customWidth="1"/>
    <col min="15613" max="15613" width="10.85546875" style="682" bestFit="1" customWidth="1"/>
    <col min="15614" max="15614" width="10.7109375" style="682" customWidth="1"/>
    <col min="15615" max="15615" width="11.28515625" style="682" bestFit="1" customWidth="1"/>
    <col min="15616" max="15616" width="10.85546875" style="682" bestFit="1" customWidth="1"/>
    <col min="15617" max="15617" width="9.85546875" style="682" bestFit="1" customWidth="1"/>
    <col min="15618" max="15618" width="10.85546875" style="682" customWidth="1"/>
    <col min="15619" max="15619" width="10.140625" style="682" customWidth="1"/>
    <col min="15620" max="15620" width="11.5703125" style="682" customWidth="1"/>
    <col min="15621" max="15621" width="11.28515625" style="682" bestFit="1" customWidth="1"/>
    <col min="15622" max="15622" width="9.5703125" style="682" customWidth="1"/>
    <col min="15623" max="15623" width="9.7109375" style="682" bestFit="1" customWidth="1"/>
    <col min="15624" max="15624" width="10.7109375" style="682" customWidth="1"/>
    <col min="15625" max="15625" width="11" style="682" customWidth="1"/>
    <col min="15626" max="15862" width="9.140625" style="682"/>
    <col min="15863" max="15863" width="21.42578125" style="682" customWidth="1"/>
    <col min="15864" max="15864" width="10.7109375" style="682" customWidth="1"/>
    <col min="15865" max="15866" width="9.85546875" style="682" bestFit="1" customWidth="1"/>
    <col min="15867" max="15867" width="9.28515625" style="682" bestFit="1" customWidth="1"/>
    <col min="15868" max="15868" width="10.140625" style="682" customWidth="1"/>
    <col min="15869" max="15869" width="10.85546875" style="682" bestFit="1" customWidth="1"/>
    <col min="15870" max="15870" width="10.7109375" style="682" customWidth="1"/>
    <col min="15871" max="15871" width="11.28515625" style="682" bestFit="1" customWidth="1"/>
    <col min="15872" max="15872" width="10.85546875" style="682" bestFit="1" customWidth="1"/>
    <col min="15873" max="15873" width="9.85546875" style="682" bestFit="1" customWidth="1"/>
    <col min="15874" max="15874" width="10.85546875" style="682" customWidth="1"/>
    <col min="15875" max="15875" width="10.140625" style="682" customWidth="1"/>
    <col min="15876" max="15876" width="11.5703125" style="682" customWidth="1"/>
    <col min="15877" max="15877" width="11.28515625" style="682" bestFit="1" customWidth="1"/>
    <col min="15878" max="15878" width="9.5703125" style="682" customWidth="1"/>
    <col min="15879" max="15879" width="9.7109375" style="682" bestFit="1" customWidth="1"/>
    <col min="15880" max="15880" width="10.7109375" style="682" customWidth="1"/>
    <col min="15881" max="15881" width="11" style="682" customWidth="1"/>
    <col min="15882" max="16118" width="9.140625" style="682"/>
    <col min="16119" max="16119" width="21.42578125" style="682" customWidth="1"/>
    <col min="16120" max="16120" width="10.7109375" style="682" customWidth="1"/>
    <col min="16121" max="16122" width="9.85546875" style="682" bestFit="1" customWidth="1"/>
    <col min="16123" max="16123" width="9.28515625" style="682" bestFit="1" customWidth="1"/>
    <col min="16124" max="16124" width="10.140625" style="682" customWidth="1"/>
    <col min="16125" max="16125" width="10.85546875" style="682" bestFit="1" customWidth="1"/>
    <col min="16126" max="16126" width="10.7109375" style="682" customWidth="1"/>
    <col min="16127" max="16127" width="11.28515625" style="682" bestFit="1" customWidth="1"/>
    <col min="16128" max="16128" width="10.85546875" style="682" bestFit="1" customWidth="1"/>
    <col min="16129" max="16129" width="9.85546875" style="682" bestFit="1" customWidth="1"/>
    <col min="16130" max="16130" width="10.85546875" style="682" customWidth="1"/>
    <col min="16131" max="16131" width="10.140625" style="682" customWidth="1"/>
    <col min="16132" max="16132" width="11.5703125" style="682" customWidth="1"/>
    <col min="16133" max="16133" width="11.28515625" style="682" bestFit="1" customWidth="1"/>
    <col min="16134" max="16134" width="9.5703125" style="682" customWidth="1"/>
    <col min="16135" max="16135" width="9.7109375" style="682" bestFit="1" customWidth="1"/>
    <col min="16136" max="16136" width="10.7109375" style="682" customWidth="1"/>
    <col min="16137" max="16137" width="11" style="682" customWidth="1"/>
    <col min="16138" max="16375" width="9.140625" style="682"/>
    <col min="16376" max="16384" width="9.140625" style="682" customWidth="1"/>
  </cols>
  <sheetData>
    <row r="1" spans="1:17" s="673" customFormat="1" ht="42.75" customHeight="1" outlineLevel="1" x14ac:dyDescent="0.3">
      <c r="A1" s="672"/>
      <c r="B1" s="1283" t="s">
        <v>1811</v>
      </c>
      <c r="C1" s="1283"/>
      <c r="D1" s="1284" t="s">
        <v>1861</v>
      </c>
      <c r="E1" s="1284"/>
      <c r="F1" s="1284"/>
      <c r="G1" s="924"/>
      <c r="H1" s="924"/>
      <c r="I1" s="925"/>
      <c r="J1" s="674"/>
      <c r="K1" s="676"/>
      <c r="L1" s="677"/>
      <c r="M1" s="678"/>
      <c r="N1" s="678"/>
      <c r="O1" s="678"/>
      <c r="P1" s="675"/>
      <c r="Q1" s="675"/>
    </row>
    <row r="2" spans="1:17" s="673" customFormat="1" ht="20.100000000000001" customHeight="1" outlineLevel="1" x14ac:dyDescent="0.35">
      <c r="A2" s="672"/>
      <c r="B2" s="926"/>
      <c r="C2" s="927"/>
      <c r="D2" s="928"/>
      <c r="E2" s="927"/>
      <c r="F2" s="927"/>
      <c r="G2" s="924"/>
      <c r="H2" s="924"/>
      <c r="I2" s="925"/>
      <c r="J2" s="674"/>
      <c r="K2" s="676"/>
      <c r="L2" s="677"/>
      <c r="M2" s="678"/>
      <c r="N2" s="678"/>
      <c r="O2" s="678"/>
      <c r="P2" s="675"/>
      <c r="Q2" s="675"/>
    </row>
    <row r="3" spans="1:17" s="673" customFormat="1" ht="20.100000000000001" customHeight="1" outlineLevel="1" x14ac:dyDescent="0.35">
      <c r="A3" s="672"/>
      <c r="B3" s="1335" t="s">
        <v>1812</v>
      </c>
      <c r="C3" s="1335"/>
      <c r="D3" s="1335"/>
      <c r="E3" s="1335"/>
      <c r="F3" s="1335"/>
      <c r="G3" s="1335"/>
      <c r="H3" s="1335"/>
      <c r="I3" s="1335"/>
      <c r="J3" s="674"/>
      <c r="K3" s="676"/>
      <c r="L3" s="677"/>
      <c r="M3" s="678"/>
      <c r="N3" s="678"/>
      <c r="O3" s="678"/>
      <c r="P3" s="675"/>
      <c r="Q3" s="675"/>
    </row>
    <row r="4" spans="1:17" s="673" customFormat="1" ht="34.5" customHeight="1" outlineLevel="1" x14ac:dyDescent="0.3">
      <c r="A4" s="672"/>
      <c r="B4" s="1336" t="s">
        <v>1804</v>
      </c>
      <c r="C4" s="1336"/>
      <c r="D4" s="1336"/>
      <c r="E4" s="1336"/>
      <c r="F4" s="1336"/>
      <c r="G4" s="1336"/>
      <c r="H4" s="1336"/>
      <c r="I4" s="1336"/>
      <c r="J4" s="674"/>
      <c r="K4" s="679"/>
      <c r="L4" s="680"/>
    </row>
    <row r="5" spans="1:17" s="673" customFormat="1" ht="99" customHeight="1" outlineLevel="1" thickBot="1" x14ac:dyDescent="0.35">
      <c r="A5" s="672"/>
      <c r="B5" s="1337" t="s">
        <v>1884</v>
      </c>
      <c r="C5" s="1337"/>
      <c r="D5" s="1337"/>
      <c r="E5" s="1337"/>
      <c r="F5" s="1337"/>
      <c r="G5" s="1337"/>
      <c r="H5" s="1337"/>
      <c r="I5" s="1337"/>
      <c r="J5" s="674"/>
      <c r="K5" s="679"/>
      <c r="L5" s="680"/>
    </row>
    <row r="6" spans="1:17" s="673" customFormat="1" ht="20.100000000000001" hidden="1" customHeight="1" outlineLevel="1" x14ac:dyDescent="0.35">
      <c r="A6" s="672"/>
      <c r="B6" s="1338"/>
      <c r="C6" s="1338"/>
      <c r="D6" s="1338"/>
      <c r="E6" s="1338"/>
      <c r="F6" s="1338"/>
      <c r="G6" s="1338"/>
      <c r="H6" s="1338"/>
      <c r="I6" s="1338"/>
      <c r="J6" s="674"/>
      <c r="K6" s="679"/>
      <c r="L6" s="680"/>
    </row>
    <row r="7" spans="1:17" ht="6.75" hidden="1" customHeight="1" outlineLevel="1" thickBot="1" x14ac:dyDescent="0.35">
      <c r="A7" s="681"/>
      <c r="B7" s="929"/>
      <c r="C7" s="859"/>
      <c r="D7" s="930"/>
      <c r="E7" s="930"/>
      <c r="F7" s="930"/>
      <c r="G7" s="931"/>
      <c r="H7" s="931"/>
      <c r="I7" s="931"/>
      <c r="J7" s="683"/>
    </row>
    <row r="8" spans="1:17" collapsed="1" x14ac:dyDescent="0.25">
      <c r="A8" s="681"/>
      <c r="B8" s="1339" t="s">
        <v>11</v>
      </c>
      <c r="C8" s="1342" t="s">
        <v>12</v>
      </c>
      <c r="D8" s="1342"/>
      <c r="E8" s="1342"/>
      <c r="F8" s="1343"/>
      <c r="G8" s="1287" t="s">
        <v>1784</v>
      </c>
      <c r="H8" s="1288"/>
      <c r="I8" s="1289"/>
      <c r="J8" s="683"/>
    </row>
    <row r="9" spans="1:17" ht="35.25" customHeight="1" x14ac:dyDescent="0.25">
      <c r="A9" s="681"/>
      <c r="B9" s="1340"/>
      <c r="C9" s="1344"/>
      <c r="D9" s="1344"/>
      <c r="E9" s="1344"/>
      <c r="F9" s="1345"/>
      <c r="G9" s="1031" t="s">
        <v>16</v>
      </c>
      <c r="H9" s="1032" t="s">
        <v>17</v>
      </c>
      <c r="I9" s="1033" t="s">
        <v>18</v>
      </c>
      <c r="J9" s="683"/>
    </row>
    <row r="10" spans="1:17" ht="18.75" thickBot="1" x14ac:dyDescent="0.3">
      <c r="A10" s="681"/>
      <c r="B10" s="1341"/>
      <c r="C10" s="1346"/>
      <c r="D10" s="1346"/>
      <c r="E10" s="1346"/>
      <c r="F10" s="1347"/>
      <c r="G10" s="1034" t="s">
        <v>1295</v>
      </c>
      <c r="H10" s="1035" t="s">
        <v>1295</v>
      </c>
      <c r="I10" s="1036" t="s">
        <v>1295</v>
      </c>
      <c r="J10" s="683"/>
      <c r="L10" s="686"/>
    </row>
    <row r="11" spans="1:17" ht="17.45" customHeight="1" x14ac:dyDescent="0.3">
      <c r="A11" s="681"/>
      <c r="B11" s="1332" t="s">
        <v>1299</v>
      </c>
      <c r="C11" s="1333"/>
      <c r="D11" s="1333"/>
      <c r="E11" s="1333"/>
      <c r="F11" s="1333"/>
      <c r="G11" s="1333"/>
      <c r="H11" s="1333"/>
      <c r="I11" s="1334"/>
      <c r="J11" s="683"/>
    </row>
    <row r="12" spans="1:17" ht="17.45" customHeight="1" x14ac:dyDescent="0.25">
      <c r="A12" s="681"/>
      <c r="B12" s="1318" t="s">
        <v>19</v>
      </c>
      <c r="C12" s="1319"/>
      <c r="D12" s="1319"/>
      <c r="E12" s="1319"/>
      <c r="F12" s="1319"/>
      <c r="G12" s="1319"/>
      <c r="H12" s="1319"/>
      <c r="I12" s="1320"/>
      <c r="J12" s="683"/>
    </row>
    <row r="13" spans="1:17" ht="17.45" customHeight="1" x14ac:dyDescent="0.25">
      <c r="A13" s="681"/>
      <c r="B13" s="1037" t="s">
        <v>20</v>
      </c>
      <c r="C13" s="1323" t="s">
        <v>21</v>
      </c>
      <c r="D13" s="1323"/>
      <c r="E13" s="1323"/>
      <c r="F13" s="1323"/>
      <c r="G13" s="1038">
        <v>0</v>
      </c>
      <c r="H13" s="1038">
        <f>G13*$E$130</f>
        <v>0</v>
      </c>
      <c r="I13" s="1039">
        <f>G13+H13</f>
        <v>0</v>
      </c>
      <c r="J13" s="683"/>
      <c r="L13" s="686"/>
    </row>
    <row r="14" spans="1:17" ht="17.45" customHeight="1" x14ac:dyDescent="0.3">
      <c r="A14" s="681"/>
      <c r="B14" s="1037" t="s">
        <v>22</v>
      </c>
      <c r="C14" s="1322" t="s">
        <v>1323</v>
      </c>
      <c r="D14" s="1322"/>
      <c r="E14" s="1322"/>
      <c r="F14" s="1322"/>
      <c r="G14" s="1038">
        <v>0</v>
      </c>
      <c r="H14" s="1038">
        <f>G14*$E$130</f>
        <v>0</v>
      </c>
      <c r="I14" s="1039">
        <f t="shared" ref="I14:I17" si="0">G14+H14</f>
        <v>0</v>
      </c>
      <c r="J14" s="683"/>
    </row>
    <row r="15" spans="1:17" ht="17.45" hidden="1" customHeight="1" x14ac:dyDescent="0.3">
      <c r="A15" s="681"/>
      <c r="B15" s="1037" t="s">
        <v>1303</v>
      </c>
      <c r="C15" s="1322" t="str">
        <f>C62</f>
        <v>OBIECT 3 - Amenajări exterioare</v>
      </c>
      <c r="D15" s="1322"/>
      <c r="E15" s="1322"/>
      <c r="F15" s="1322"/>
      <c r="G15" s="1038">
        <v>0</v>
      </c>
      <c r="H15" s="1038">
        <f>G15*$E$130</f>
        <v>0</v>
      </c>
      <c r="I15" s="1039">
        <f t="shared" si="0"/>
        <v>0</v>
      </c>
      <c r="J15" s="683"/>
    </row>
    <row r="16" spans="1:17" ht="34.5" customHeight="1" x14ac:dyDescent="0.25">
      <c r="A16" s="681"/>
      <c r="B16" s="1037" t="s">
        <v>23</v>
      </c>
      <c r="C16" s="1348" t="s">
        <v>1879</v>
      </c>
      <c r="D16" s="1349"/>
      <c r="E16" s="1349"/>
      <c r="F16" s="1350"/>
      <c r="G16" s="1038">
        <v>10000</v>
      </c>
      <c r="H16" s="1038">
        <f>G16*$E$130</f>
        <v>1900</v>
      </c>
      <c r="I16" s="1039">
        <f t="shared" si="0"/>
        <v>11900</v>
      </c>
      <c r="J16" s="683"/>
    </row>
    <row r="17" spans="1:12" ht="17.45" customHeight="1" x14ac:dyDescent="0.25">
      <c r="A17" s="681"/>
      <c r="B17" s="1037">
        <v>1.4</v>
      </c>
      <c r="C17" s="1323" t="s">
        <v>1302</v>
      </c>
      <c r="D17" s="1323"/>
      <c r="E17" s="1323"/>
      <c r="F17" s="1323"/>
      <c r="G17" s="1038">
        <v>0</v>
      </c>
      <c r="H17" s="1038">
        <f>G17*$E$130</f>
        <v>0</v>
      </c>
      <c r="I17" s="1039">
        <f t="shared" si="0"/>
        <v>0</v>
      </c>
      <c r="J17" s="683"/>
    </row>
    <row r="18" spans="1:12" ht="17.45" customHeight="1" thickBot="1" x14ac:dyDescent="0.35">
      <c r="A18" s="681"/>
      <c r="B18" s="1290" t="s">
        <v>25</v>
      </c>
      <c r="C18" s="1291"/>
      <c r="D18" s="1291"/>
      <c r="E18" s="1291"/>
      <c r="F18" s="1291"/>
      <c r="G18" s="1040">
        <f t="shared" ref="G18:I18" si="1">G13+G14+G16+G17</f>
        <v>10000</v>
      </c>
      <c r="H18" s="1040">
        <f t="shared" si="1"/>
        <v>1900</v>
      </c>
      <c r="I18" s="1041">
        <f t="shared" si="1"/>
        <v>11900</v>
      </c>
      <c r="J18" s="683"/>
    </row>
    <row r="19" spans="1:12" ht="17.45" customHeight="1" x14ac:dyDescent="0.3">
      <c r="A19" s="681"/>
      <c r="B19" s="1332" t="s">
        <v>1300</v>
      </c>
      <c r="C19" s="1333"/>
      <c r="D19" s="1333"/>
      <c r="E19" s="1333"/>
      <c r="F19" s="1333"/>
      <c r="G19" s="1333"/>
      <c r="H19" s="1333"/>
      <c r="I19" s="1334"/>
      <c r="J19" s="683"/>
    </row>
    <row r="20" spans="1:12" ht="17.45" customHeight="1" x14ac:dyDescent="0.25">
      <c r="A20" s="681"/>
      <c r="B20" s="1318" t="s">
        <v>26</v>
      </c>
      <c r="C20" s="1319"/>
      <c r="D20" s="1319"/>
      <c r="E20" s="1319"/>
      <c r="F20" s="1319"/>
      <c r="G20" s="1319"/>
      <c r="H20" s="1319"/>
      <c r="I20" s="1320"/>
      <c r="J20" s="683"/>
    </row>
    <row r="21" spans="1:12" ht="23.25" customHeight="1" x14ac:dyDescent="0.3">
      <c r="A21" s="681"/>
      <c r="B21" s="1037">
        <v>2.1</v>
      </c>
      <c r="C21" s="1348" t="s">
        <v>1832</v>
      </c>
      <c r="D21" s="1351"/>
      <c r="E21" s="1351"/>
      <c r="F21" s="1352"/>
      <c r="G21" s="1038">
        <v>0</v>
      </c>
      <c r="H21" s="1038">
        <f t="shared" ref="H21:H28" si="2">G21*$E$130</f>
        <v>0</v>
      </c>
      <c r="I21" s="1039">
        <f t="shared" ref="I21:I28" si="3">G21+H21</f>
        <v>0</v>
      </c>
      <c r="J21" s="683"/>
    </row>
    <row r="22" spans="1:12" ht="18.75" customHeight="1" x14ac:dyDescent="0.3">
      <c r="A22" s="681"/>
      <c r="B22" s="1037">
        <v>2.2000000000000002</v>
      </c>
      <c r="C22" s="1348" t="s">
        <v>1862</v>
      </c>
      <c r="D22" s="1351"/>
      <c r="E22" s="1351"/>
      <c r="F22" s="1352"/>
      <c r="G22" s="1038">
        <v>0</v>
      </c>
      <c r="H22" s="1038">
        <f t="shared" si="2"/>
        <v>0</v>
      </c>
      <c r="I22" s="1039">
        <f t="shared" si="3"/>
        <v>0</v>
      </c>
      <c r="J22" s="683"/>
    </row>
    <row r="23" spans="1:12" ht="18.75" customHeight="1" x14ac:dyDescent="0.25">
      <c r="A23" s="681"/>
      <c r="B23" s="1037">
        <v>2.2999999999999998</v>
      </c>
      <c r="C23" s="1348" t="s">
        <v>1833</v>
      </c>
      <c r="D23" s="1353"/>
      <c r="E23" s="1353"/>
      <c r="F23" s="1354"/>
      <c r="G23" s="1038">
        <v>0</v>
      </c>
      <c r="H23" s="1038">
        <f t="shared" si="2"/>
        <v>0</v>
      </c>
      <c r="I23" s="1039">
        <f t="shared" si="3"/>
        <v>0</v>
      </c>
      <c r="J23" s="683"/>
    </row>
    <row r="24" spans="1:12" s="691" customFormat="1" ht="17.45" hidden="1" customHeight="1" x14ac:dyDescent="0.3">
      <c r="A24" s="687"/>
      <c r="B24" s="1037">
        <v>3.3</v>
      </c>
      <c r="C24" s="1296" t="s">
        <v>1793</v>
      </c>
      <c r="D24" s="1296"/>
      <c r="E24" s="1296"/>
      <c r="F24" s="1296"/>
      <c r="G24" s="1038">
        <v>0</v>
      </c>
      <c r="H24" s="1038">
        <f t="shared" si="2"/>
        <v>0</v>
      </c>
      <c r="I24" s="1039">
        <f t="shared" si="3"/>
        <v>0</v>
      </c>
      <c r="J24" s="688"/>
      <c r="K24" s="689"/>
      <c r="L24" s="690"/>
    </row>
    <row r="25" spans="1:12" s="691" customFormat="1" ht="17.45" hidden="1" customHeight="1" x14ac:dyDescent="0.3">
      <c r="A25" s="687"/>
      <c r="B25" s="1037">
        <v>4.3</v>
      </c>
      <c r="C25" s="1296" t="s">
        <v>1792</v>
      </c>
      <c r="D25" s="1296"/>
      <c r="E25" s="1296"/>
      <c r="F25" s="1296"/>
      <c r="G25" s="1038">
        <v>0</v>
      </c>
      <c r="H25" s="1038">
        <f t="shared" si="2"/>
        <v>0</v>
      </c>
      <c r="I25" s="1039">
        <f t="shared" si="3"/>
        <v>0</v>
      </c>
      <c r="J25" s="688"/>
      <c r="K25" s="689"/>
      <c r="L25" s="690"/>
    </row>
    <row r="26" spans="1:12" s="691" customFormat="1" ht="17.45" hidden="1" customHeight="1" x14ac:dyDescent="0.3">
      <c r="A26" s="687"/>
      <c r="B26" s="1037">
        <v>5.3</v>
      </c>
      <c r="C26" s="1296"/>
      <c r="D26" s="1296"/>
      <c r="E26" s="1296"/>
      <c r="F26" s="1296"/>
      <c r="G26" s="1038">
        <v>0</v>
      </c>
      <c r="H26" s="1038">
        <f t="shared" si="2"/>
        <v>0</v>
      </c>
      <c r="I26" s="1039">
        <f t="shared" si="3"/>
        <v>0</v>
      </c>
      <c r="J26" s="688"/>
      <c r="K26" s="689"/>
      <c r="L26" s="690"/>
    </row>
    <row r="27" spans="1:12" s="691" customFormat="1" ht="17.45" hidden="1" customHeight="1" x14ac:dyDescent="0.3">
      <c r="A27" s="687"/>
      <c r="B27" s="1037">
        <v>6.3</v>
      </c>
      <c r="C27" s="1296"/>
      <c r="D27" s="1296"/>
      <c r="E27" s="1296"/>
      <c r="F27" s="1296"/>
      <c r="G27" s="1038">
        <v>0</v>
      </c>
      <c r="H27" s="1038">
        <f t="shared" si="2"/>
        <v>0</v>
      </c>
      <c r="I27" s="1039">
        <f t="shared" si="3"/>
        <v>0</v>
      </c>
      <c r="J27" s="688"/>
      <c r="K27" s="689"/>
      <c r="L27" s="690"/>
    </row>
    <row r="28" spans="1:12" s="691" customFormat="1" ht="17.45" customHeight="1" x14ac:dyDescent="0.3">
      <c r="A28" s="687"/>
      <c r="B28" s="1037">
        <v>2.4</v>
      </c>
      <c r="C28" s="1348" t="s">
        <v>1866</v>
      </c>
      <c r="D28" s="1353"/>
      <c r="E28" s="1353"/>
      <c r="F28" s="1354"/>
      <c r="G28" s="1038">
        <v>0</v>
      </c>
      <c r="H28" s="1038">
        <f t="shared" si="2"/>
        <v>0</v>
      </c>
      <c r="I28" s="1039">
        <f t="shared" si="3"/>
        <v>0</v>
      </c>
      <c r="J28" s="688"/>
      <c r="K28" s="689"/>
      <c r="L28" s="690"/>
    </row>
    <row r="29" spans="1:12" ht="17.45" customHeight="1" thickBot="1" x14ac:dyDescent="0.35">
      <c r="A29" s="681"/>
      <c r="B29" s="1290" t="s">
        <v>29</v>
      </c>
      <c r="C29" s="1291"/>
      <c r="D29" s="1291"/>
      <c r="E29" s="1291"/>
      <c r="F29" s="1291"/>
      <c r="G29" s="1040">
        <f>SUM(G21:G23)</f>
        <v>0</v>
      </c>
      <c r="H29" s="1040">
        <f>SUM(H21:H23)</f>
        <v>0</v>
      </c>
      <c r="I29" s="1041">
        <f>SUM(I21:I23)</f>
        <v>0</v>
      </c>
      <c r="J29" s="683"/>
    </row>
    <row r="30" spans="1:12" ht="17.45" customHeight="1" x14ac:dyDescent="0.3">
      <c r="A30" s="681"/>
      <c r="B30" s="1332" t="s">
        <v>1321</v>
      </c>
      <c r="C30" s="1333"/>
      <c r="D30" s="1333"/>
      <c r="E30" s="1333"/>
      <c r="F30" s="1333"/>
      <c r="G30" s="1333"/>
      <c r="H30" s="1333"/>
      <c r="I30" s="1334"/>
      <c r="J30" s="683"/>
    </row>
    <row r="31" spans="1:12" ht="17.45" customHeight="1" x14ac:dyDescent="0.25">
      <c r="A31" s="681"/>
      <c r="B31" s="1318" t="s">
        <v>30</v>
      </c>
      <c r="C31" s="1319"/>
      <c r="D31" s="1319"/>
      <c r="E31" s="1319"/>
      <c r="F31" s="1319"/>
      <c r="G31" s="1319"/>
      <c r="H31" s="1319"/>
      <c r="I31" s="1320"/>
      <c r="J31" s="683"/>
      <c r="K31" s="692"/>
    </row>
    <row r="32" spans="1:12" s="694" customFormat="1" ht="17.45" customHeight="1" x14ac:dyDescent="0.35">
      <c r="A32" s="681"/>
      <c r="B32" s="1044" t="s">
        <v>31</v>
      </c>
      <c r="C32" s="1323" t="s">
        <v>1324</v>
      </c>
      <c r="D32" s="1323"/>
      <c r="E32" s="1323"/>
      <c r="F32" s="1323"/>
      <c r="G32" s="1038">
        <f>SUM(G33:G35)</f>
        <v>0</v>
      </c>
      <c r="H32" s="1038">
        <f t="shared" ref="H32" si="4">SUM(H33:H35)</f>
        <v>0</v>
      </c>
      <c r="I32" s="1039">
        <f t="shared" ref="I32" si="5">SUM(I33:I35)</f>
        <v>0</v>
      </c>
      <c r="J32" s="683"/>
      <c r="K32" s="693"/>
      <c r="L32" s="685"/>
    </row>
    <row r="33" spans="1:14" s="694" customFormat="1" ht="17.45" customHeight="1" x14ac:dyDescent="0.35">
      <c r="A33" s="681"/>
      <c r="B33" s="1045" t="s">
        <v>1325</v>
      </c>
      <c r="C33" s="1331" t="s">
        <v>1328</v>
      </c>
      <c r="D33" s="1331"/>
      <c r="E33" s="1331"/>
      <c r="F33" s="1331"/>
      <c r="G33" s="1046">
        <f>'DG-cap3'!G10</f>
        <v>0</v>
      </c>
      <c r="H33" s="1046">
        <f>G33*$E$130</f>
        <v>0</v>
      </c>
      <c r="I33" s="1047">
        <f t="shared" ref="I33:I38" si="6">G33+H33</f>
        <v>0</v>
      </c>
      <c r="J33" s="683"/>
      <c r="K33" s="693"/>
      <c r="L33" s="685"/>
    </row>
    <row r="34" spans="1:14" s="694" customFormat="1" ht="17.45" customHeight="1" x14ac:dyDescent="0.35">
      <c r="A34" s="681"/>
      <c r="B34" s="1045" t="s">
        <v>1326</v>
      </c>
      <c r="C34" s="1331" t="s">
        <v>1329</v>
      </c>
      <c r="D34" s="1331"/>
      <c r="E34" s="1331"/>
      <c r="F34" s="1331"/>
      <c r="G34" s="1046">
        <f>'DG-cap3'!G11</f>
        <v>0</v>
      </c>
      <c r="H34" s="1046">
        <f>G34*$E$130</f>
        <v>0</v>
      </c>
      <c r="I34" s="1047">
        <f t="shared" si="6"/>
        <v>0</v>
      </c>
      <c r="J34" s="683"/>
      <c r="K34" s="693"/>
      <c r="L34" s="685"/>
    </row>
    <row r="35" spans="1:14" s="694" customFormat="1" ht="17.45" customHeight="1" x14ac:dyDescent="0.35">
      <c r="A35" s="681"/>
      <c r="B35" s="1045" t="s">
        <v>1327</v>
      </c>
      <c r="C35" s="1331" t="s">
        <v>1330</v>
      </c>
      <c r="D35" s="1331"/>
      <c r="E35" s="1331"/>
      <c r="F35" s="1331"/>
      <c r="G35" s="1046">
        <f>'DG-cap3'!G12</f>
        <v>0</v>
      </c>
      <c r="H35" s="1046">
        <f>G35*$E$130</f>
        <v>0</v>
      </c>
      <c r="I35" s="1047">
        <f t="shared" si="6"/>
        <v>0</v>
      </c>
      <c r="J35" s="683"/>
      <c r="K35" s="693"/>
      <c r="L35" s="685"/>
    </row>
    <row r="36" spans="1:14" s="694" customFormat="1" ht="17.45" customHeight="1" x14ac:dyDescent="0.3">
      <c r="A36" s="681"/>
      <c r="B36" s="1037" t="s">
        <v>32</v>
      </c>
      <c r="C36" s="1322" t="s">
        <v>1331</v>
      </c>
      <c r="D36" s="1323"/>
      <c r="E36" s="1323"/>
      <c r="F36" s="1323"/>
      <c r="G36" s="1038">
        <v>3000</v>
      </c>
      <c r="H36" s="1038">
        <f>G36*$E$130</f>
        <v>570</v>
      </c>
      <c r="I36" s="1039">
        <f t="shared" si="6"/>
        <v>3570</v>
      </c>
      <c r="J36" s="683"/>
      <c r="K36" s="695"/>
      <c r="L36" s="696"/>
      <c r="M36" s="697"/>
      <c r="N36" s="697"/>
    </row>
    <row r="37" spans="1:14" s="694" customFormat="1" ht="17.45" customHeight="1" x14ac:dyDescent="0.3">
      <c r="A37" s="681"/>
      <c r="B37" s="1037">
        <v>3.3</v>
      </c>
      <c r="C37" s="1322" t="s">
        <v>1332</v>
      </c>
      <c r="D37" s="1322"/>
      <c r="E37" s="1322"/>
      <c r="F37" s="1322"/>
      <c r="G37" s="1038">
        <f>'DG-cap3'!G14</f>
        <v>12000</v>
      </c>
      <c r="H37" s="1038">
        <f>'DG-cap3'!H14</f>
        <v>0</v>
      </c>
      <c r="I37" s="1039">
        <f t="shared" si="6"/>
        <v>12000</v>
      </c>
      <c r="J37" s="683"/>
      <c r="K37" s="695"/>
      <c r="L37" s="696"/>
      <c r="M37" s="697"/>
      <c r="N37" s="697"/>
    </row>
    <row r="38" spans="1:14" s="694" customFormat="1" ht="17.45" customHeight="1" x14ac:dyDescent="0.3">
      <c r="A38" s="681"/>
      <c r="B38" s="1037">
        <v>3.4</v>
      </c>
      <c r="C38" s="1048" t="s">
        <v>1822</v>
      </c>
      <c r="D38" s="1048"/>
      <c r="E38" s="1048"/>
      <c r="F38" s="1048"/>
      <c r="G38" s="1038">
        <v>5000</v>
      </c>
      <c r="H38" s="1038">
        <f>G38*$E$130</f>
        <v>950</v>
      </c>
      <c r="I38" s="1039">
        <f t="shared" si="6"/>
        <v>5950</v>
      </c>
      <c r="J38" s="683"/>
      <c r="K38" s="695"/>
      <c r="L38" s="696"/>
      <c r="M38" s="697"/>
      <c r="N38" s="697"/>
    </row>
    <row r="39" spans="1:14" s="694" customFormat="1" ht="17.45" customHeight="1" x14ac:dyDescent="0.35">
      <c r="A39" s="681"/>
      <c r="B39" s="1037">
        <v>3.5</v>
      </c>
      <c r="C39" s="1323" t="s">
        <v>1334</v>
      </c>
      <c r="D39" s="1323"/>
      <c r="E39" s="1323"/>
      <c r="F39" s="1323"/>
      <c r="G39" s="1038">
        <f>G40+G41+G42+G43+G44+G45</f>
        <v>213000</v>
      </c>
      <c r="H39" s="1038">
        <f t="shared" ref="H39" si="7">SUM(H40:H45)</f>
        <v>40470</v>
      </c>
      <c r="I39" s="1039">
        <f t="shared" ref="I39" si="8">SUM(I40:I45)</f>
        <v>253470</v>
      </c>
      <c r="J39" s="683"/>
      <c r="K39" s="695"/>
      <c r="L39" s="685"/>
    </row>
    <row r="40" spans="1:14" s="694" customFormat="1" ht="17.45" customHeight="1" x14ac:dyDescent="0.3">
      <c r="A40" s="681"/>
      <c r="B40" s="1049" t="s">
        <v>1335</v>
      </c>
      <c r="C40" s="1331" t="s">
        <v>1341</v>
      </c>
      <c r="D40" s="1331"/>
      <c r="E40" s="1331"/>
      <c r="F40" s="1331"/>
      <c r="G40" s="1046">
        <f>'DG-cap3'!G17</f>
        <v>0</v>
      </c>
      <c r="H40" s="1046">
        <f>G40*$E$130</f>
        <v>0</v>
      </c>
      <c r="I40" s="1047">
        <f t="shared" ref="I40:I46" si="9">G40+H40</f>
        <v>0</v>
      </c>
      <c r="J40" s="683"/>
      <c r="K40" s="695"/>
      <c r="L40" s="685"/>
    </row>
    <row r="41" spans="1:14" s="694" customFormat="1" ht="17.45" customHeight="1" x14ac:dyDescent="0.35">
      <c r="A41" s="681"/>
      <c r="B41" s="1049" t="s">
        <v>1336</v>
      </c>
      <c r="C41" s="1331" t="s">
        <v>1342</v>
      </c>
      <c r="D41" s="1331"/>
      <c r="E41" s="1331"/>
      <c r="F41" s="1331"/>
      <c r="G41" s="1046">
        <f>'DG-cap3'!G18</f>
        <v>0</v>
      </c>
      <c r="H41" s="1046">
        <f>G41*$E$130</f>
        <v>0</v>
      </c>
      <c r="I41" s="1047">
        <f t="shared" si="9"/>
        <v>0</v>
      </c>
      <c r="J41" s="683"/>
      <c r="K41" s="695"/>
      <c r="L41" s="685"/>
    </row>
    <row r="42" spans="1:14" s="694" customFormat="1" ht="17.45" customHeight="1" x14ac:dyDescent="0.3">
      <c r="A42" s="681"/>
      <c r="B42" s="1049" t="s">
        <v>1337</v>
      </c>
      <c r="C42" s="1331" t="s">
        <v>1882</v>
      </c>
      <c r="D42" s="1331"/>
      <c r="E42" s="1331"/>
      <c r="F42" s="1331"/>
      <c r="G42" s="1046">
        <v>30000</v>
      </c>
      <c r="H42" s="1046">
        <f>G42*0.19</f>
        <v>5700</v>
      </c>
      <c r="I42" s="1047">
        <f t="shared" si="9"/>
        <v>35700</v>
      </c>
      <c r="J42" s="683"/>
      <c r="K42" s="695"/>
      <c r="L42" s="685"/>
    </row>
    <row r="43" spans="1:14" s="694" customFormat="1" ht="17.45" customHeight="1" x14ac:dyDescent="0.3">
      <c r="A43" s="681"/>
      <c r="B43" s="1049" t="s">
        <v>1338</v>
      </c>
      <c r="C43" s="1331" t="s">
        <v>1344</v>
      </c>
      <c r="D43" s="1331"/>
      <c r="E43" s="1331"/>
      <c r="F43" s="1331"/>
      <c r="G43" s="1046">
        <v>3000</v>
      </c>
      <c r="H43" s="1046">
        <f>G43*$E$130</f>
        <v>570</v>
      </c>
      <c r="I43" s="1047">
        <f t="shared" si="9"/>
        <v>3570</v>
      </c>
      <c r="J43" s="683"/>
      <c r="K43" s="695"/>
      <c r="L43" s="685"/>
    </row>
    <row r="44" spans="1:14" s="694" customFormat="1" ht="17.45" customHeight="1" x14ac:dyDescent="0.3">
      <c r="A44" s="681"/>
      <c r="B44" s="1049" t="s">
        <v>1339</v>
      </c>
      <c r="C44" s="1331" t="s">
        <v>1345</v>
      </c>
      <c r="D44" s="1331"/>
      <c r="E44" s="1331"/>
      <c r="F44" s="1331"/>
      <c r="G44" s="1046">
        <v>10000</v>
      </c>
      <c r="H44" s="1046">
        <f>G44*$E$130</f>
        <v>1900</v>
      </c>
      <c r="I44" s="1047">
        <f t="shared" si="9"/>
        <v>11900</v>
      </c>
      <c r="J44" s="683"/>
      <c r="K44" s="695"/>
      <c r="L44" s="685"/>
    </row>
    <row r="45" spans="1:14" s="694" customFormat="1" ht="17.45" customHeight="1" x14ac:dyDescent="0.3">
      <c r="A45" s="681"/>
      <c r="B45" s="1049" t="s">
        <v>1340</v>
      </c>
      <c r="C45" s="1331" t="s">
        <v>1346</v>
      </c>
      <c r="D45" s="1331"/>
      <c r="E45" s="1331"/>
      <c r="F45" s="1331"/>
      <c r="G45" s="1046">
        <v>170000</v>
      </c>
      <c r="H45" s="1046">
        <f>G45*$E$130</f>
        <v>32300</v>
      </c>
      <c r="I45" s="1047">
        <f t="shared" si="9"/>
        <v>202300</v>
      </c>
      <c r="J45" s="683"/>
      <c r="K45" s="695"/>
      <c r="L45" s="685"/>
    </row>
    <row r="46" spans="1:14" s="694" customFormat="1" ht="17.45" customHeight="1" x14ac:dyDescent="0.3">
      <c r="A46" s="681"/>
      <c r="B46" s="1037">
        <v>3.6</v>
      </c>
      <c r="C46" s="1322" t="s">
        <v>540</v>
      </c>
      <c r="D46" s="1323"/>
      <c r="E46" s="1323"/>
      <c r="F46" s="1323"/>
      <c r="G46" s="1038">
        <f>'DG-cap3'!G23</f>
        <v>0</v>
      </c>
      <c r="H46" s="1038">
        <f>G46*$E$130</f>
        <v>0</v>
      </c>
      <c r="I46" s="1039">
        <f t="shared" si="9"/>
        <v>0</v>
      </c>
      <c r="J46" s="683"/>
      <c r="K46" s="695"/>
      <c r="L46" s="685"/>
    </row>
    <row r="47" spans="1:14" s="694" customFormat="1" ht="17.45" customHeight="1" x14ac:dyDescent="0.25">
      <c r="A47" s="681"/>
      <c r="B47" s="1037">
        <v>3.7</v>
      </c>
      <c r="C47" s="1323" t="s">
        <v>1351</v>
      </c>
      <c r="D47" s="1323"/>
      <c r="E47" s="1323"/>
      <c r="F47" s="1323"/>
      <c r="G47" s="1038">
        <f>SUM(G48:G49)</f>
        <v>0</v>
      </c>
      <c r="H47" s="1038">
        <f>SUM(H48:H49)</f>
        <v>0</v>
      </c>
      <c r="I47" s="1039">
        <f>SUM(I48:I49)</f>
        <v>0</v>
      </c>
      <c r="J47" s="683"/>
      <c r="K47" s="689"/>
      <c r="L47" s="685"/>
    </row>
    <row r="48" spans="1:14" s="694" customFormat="1" ht="17.45" customHeight="1" x14ac:dyDescent="0.3">
      <c r="A48" s="681"/>
      <c r="B48" s="1049" t="s">
        <v>1349</v>
      </c>
      <c r="C48" s="1331" t="s">
        <v>1347</v>
      </c>
      <c r="D48" s="1331"/>
      <c r="E48" s="1331"/>
      <c r="F48" s="1331"/>
      <c r="G48" s="1046">
        <f>'DG-cap3'!G25</f>
        <v>0</v>
      </c>
      <c r="H48" s="1046">
        <f>G48*$E$130</f>
        <v>0</v>
      </c>
      <c r="I48" s="1047">
        <f>G48+H48</f>
        <v>0</v>
      </c>
      <c r="J48" s="683"/>
      <c r="K48" s="695"/>
      <c r="L48" s="685"/>
    </row>
    <row r="49" spans="1:13" s="694" customFormat="1" ht="17.45" customHeight="1" x14ac:dyDescent="0.3">
      <c r="A49" s="681"/>
      <c r="B49" s="1049" t="s">
        <v>1350</v>
      </c>
      <c r="C49" s="1331" t="s">
        <v>1348</v>
      </c>
      <c r="D49" s="1331"/>
      <c r="E49" s="1331"/>
      <c r="F49" s="1331"/>
      <c r="G49" s="1046">
        <f>'DG-cap3'!G26</f>
        <v>0</v>
      </c>
      <c r="H49" s="1046">
        <f>G49*$E$130</f>
        <v>0</v>
      </c>
      <c r="I49" s="1047">
        <f>G49+H49</f>
        <v>0</v>
      </c>
      <c r="J49" s="683"/>
      <c r="K49" s="695"/>
      <c r="L49" s="685"/>
    </row>
    <row r="50" spans="1:13" s="694" customFormat="1" ht="17.45" customHeight="1" x14ac:dyDescent="0.25">
      <c r="A50" s="681"/>
      <c r="B50" s="1037">
        <v>3.8</v>
      </c>
      <c r="C50" s="1323" t="s">
        <v>1352</v>
      </c>
      <c r="D50" s="1323"/>
      <c r="E50" s="1323"/>
      <c r="F50" s="1323"/>
      <c r="G50" s="1038">
        <f>G51+G54</f>
        <v>42630.47</v>
      </c>
      <c r="H50" s="1038">
        <f t="shared" ref="H50" si="10">H51+H54</f>
        <v>8099.7893000000004</v>
      </c>
      <c r="I50" s="1039">
        <f t="shared" ref="I50" si="11">I51+I54</f>
        <v>50730.259300000005</v>
      </c>
      <c r="J50" s="683"/>
      <c r="K50" s="689"/>
      <c r="L50" s="685"/>
    </row>
    <row r="51" spans="1:13" s="694" customFormat="1" ht="17.45" customHeight="1" x14ac:dyDescent="0.25">
      <c r="A51" s="681"/>
      <c r="B51" s="1049" t="s">
        <v>1353</v>
      </c>
      <c r="C51" s="1355" t="s">
        <v>1355</v>
      </c>
      <c r="D51" s="1355"/>
      <c r="E51" s="1355"/>
      <c r="F51" s="1355"/>
      <c r="G51" s="1046">
        <f>SUM(G52:G53)</f>
        <v>14210.150000000001</v>
      </c>
      <c r="H51" s="1046">
        <f t="shared" ref="H51" si="12">SUM(H52:H53)</f>
        <v>2699.9285</v>
      </c>
      <c r="I51" s="1047">
        <f t="shared" ref="I51" si="13">SUM(I52:I53)</f>
        <v>16910.0785</v>
      </c>
      <c r="J51" s="683"/>
      <c r="K51" s="689"/>
      <c r="L51" s="685"/>
    </row>
    <row r="52" spans="1:13" s="694" customFormat="1" ht="17.45" customHeight="1" x14ac:dyDescent="0.25">
      <c r="A52" s="681"/>
      <c r="B52" s="1049" t="s">
        <v>1354</v>
      </c>
      <c r="C52" s="1362" t="s">
        <v>1356</v>
      </c>
      <c r="D52" s="1355"/>
      <c r="E52" s="1355"/>
      <c r="F52" s="1355"/>
      <c r="G52" s="1046">
        <f>'DG-cap3'!G29</f>
        <v>8526.09</v>
      </c>
      <c r="H52" s="1046">
        <f>G52*$E$130</f>
        <v>1619.9571000000001</v>
      </c>
      <c r="I52" s="1047">
        <f>G52+H52</f>
        <v>10146.0471</v>
      </c>
      <c r="J52" s="683"/>
      <c r="K52" s="689"/>
      <c r="L52" s="685"/>
    </row>
    <row r="53" spans="1:13" s="694" customFormat="1" ht="31.5" customHeight="1" x14ac:dyDescent="0.25">
      <c r="A53" s="681"/>
      <c r="B53" s="1049" t="s">
        <v>1357</v>
      </c>
      <c r="C53" s="1360" t="s">
        <v>1358</v>
      </c>
      <c r="D53" s="1361"/>
      <c r="E53" s="1361"/>
      <c r="F53" s="1361"/>
      <c r="G53" s="1046">
        <f>'DG-cap3'!G30</f>
        <v>5684.06</v>
      </c>
      <c r="H53" s="1046">
        <f>G53*$E$130</f>
        <v>1079.9714000000001</v>
      </c>
      <c r="I53" s="1047">
        <f>G53+H53</f>
        <v>6764.0314000000008</v>
      </c>
      <c r="J53" s="683"/>
      <c r="K53" s="689"/>
      <c r="L53" s="685"/>
    </row>
    <row r="54" spans="1:13" s="694" customFormat="1" ht="17.45" customHeight="1" x14ac:dyDescent="0.25">
      <c r="A54" s="681"/>
      <c r="B54" s="1049" t="s">
        <v>1359</v>
      </c>
      <c r="C54" s="1355" t="s">
        <v>1360</v>
      </c>
      <c r="D54" s="1355"/>
      <c r="E54" s="1355"/>
      <c r="F54" s="1355"/>
      <c r="G54" s="1046">
        <f>'DG-cap3'!G31</f>
        <v>28420.32</v>
      </c>
      <c r="H54" s="1046">
        <f>G54*$E$130</f>
        <v>5399.8608000000004</v>
      </c>
      <c r="I54" s="1047">
        <f>G54+H54</f>
        <v>33820.180800000002</v>
      </c>
      <c r="J54" s="683"/>
      <c r="K54" s="689"/>
      <c r="L54" s="685"/>
    </row>
    <row r="55" spans="1:13" ht="17.45" customHeight="1" thickBot="1" x14ac:dyDescent="0.3">
      <c r="A55" s="681"/>
      <c r="B55" s="1290" t="s">
        <v>33</v>
      </c>
      <c r="C55" s="1291"/>
      <c r="D55" s="1291"/>
      <c r="E55" s="1291"/>
      <c r="F55" s="1291"/>
      <c r="G55" s="1040">
        <f>G32+G36+G37+G38+G39+G46+G47+G50</f>
        <v>275630.46999999997</v>
      </c>
      <c r="H55" s="1040">
        <f>H32+H36+H37+H38+H39+H46+H47+H50</f>
        <v>50089.789300000004</v>
      </c>
      <c r="I55" s="1041">
        <f>I32+I36+I37+I38+I39+I46+I47+I50</f>
        <v>325720.25930000003</v>
      </c>
      <c r="J55" s="683"/>
    </row>
    <row r="56" spans="1:13" ht="17.45" customHeight="1" x14ac:dyDescent="0.3">
      <c r="A56" s="681"/>
      <c r="B56" s="1315" t="s">
        <v>1320</v>
      </c>
      <c r="C56" s="1316"/>
      <c r="D56" s="1316"/>
      <c r="E56" s="1316"/>
      <c r="F56" s="1316"/>
      <c r="G56" s="1316"/>
      <c r="H56" s="1316"/>
      <c r="I56" s="1317"/>
      <c r="J56" s="683"/>
      <c r="K56" s="695"/>
    </row>
    <row r="57" spans="1:13" ht="17.45" customHeight="1" x14ac:dyDescent="0.25">
      <c r="A57" s="681"/>
      <c r="B57" s="1318" t="s">
        <v>34</v>
      </c>
      <c r="C57" s="1319"/>
      <c r="D57" s="1319"/>
      <c r="E57" s="1319"/>
      <c r="F57" s="1319"/>
      <c r="G57" s="1319"/>
      <c r="H57" s="1319"/>
      <c r="I57" s="1320"/>
      <c r="J57" s="683"/>
      <c r="K57" s="698"/>
    </row>
    <row r="58" spans="1:13" s="702" customFormat="1" ht="17.45" customHeight="1" x14ac:dyDescent="0.3">
      <c r="A58" s="681"/>
      <c r="B58" s="1044" t="s">
        <v>35</v>
      </c>
      <c r="C58" s="1321" t="s">
        <v>36</v>
      </c>
      <c r="D58" s="1321"/>
      <c r="E58" s="1321"/>
      <c r="F58" s="1321"/>
      <c r="G58" s="1050">
        <v>2802500.74</v>
      </c>
      <c r="H58" s="1050">
        <f>SUM(H59:H69)</f>
        <v>532475.1399999999</v>
      </c>
      <c r="I58" s="1051">
        <f>SUM(G58:H58)</f>
        <v>3334975.88</v>
      </c>
      <c r="J58" s="699"/>
      <c r="K58" s="700"/>
      <c r="L58" s="701"/>
    </row>
    <row r="59" spans="1:13" s="702" customFormat="1" ht="17.45" customHeight="1" x14ac:dyDescent="0.3">
      <c r="A59" s="681"/>
      <c r="B59" s="1045" t="s">
        <v>37</v>
      </c>
      <c r="C59" s="1296" t="s">
        <v>1869</v>
      </c>
      <c r="D59" s="1296"/>
      <c r="E59" s="1296"/>
      <c r="F59" s="1296"/>
      <c r="G59" s="1046">
        <v>0</v>
      </c>
      <c r="H59" s="1046">
        <v>0</v>
      </c>
      <c r="I59" s="1119">
        <f t="shared" ref="I59:I69" si="14">SUM(G59:H59)</f>
        <v>0</v>
      </c>
      <c r="J59" s="699"/>
      <c r="K59" s="700"/>
      <c r="L59" s="701"/>
    </row>
    <row r="60" spans="1:13" s="702" customFormat="1" ht="17.45" customHeight="1" x14ac:dyDescent="0.3">
      <c r="A60" s="681"/>
      <c r="B60" s="1045" t="s">
        <v>38</v>
      </c>
      <c r="C60" s="1296" t="s">
        <v>1894</v>
      </c>
      <c r="D60" s="1296"/>
      <c r="E60" s="1296"/>
      <c r="F60" s="1296"/>
      <c r="G60" s="1046">
        <v>1044375.8</v>
      </c>
      <c r="H60" s="1046">
        <v>198431.4</v>
      </c>
      <c r="I60" s="1120">
        <f t="shared" si="14"/>
        <v>1242807.2</v>
      </c>
      <c r="J60" s="699"/>
      <c r="K60" s="700"/>
      <c r="L60" s="701"/>
    </row>
    <row r="61" spans="1:13" s="706" customFormat="1" ht="17.45" customHeight="1" x14ac:dyDescent="0.25">
      <c r="A61" s="681"/>
      <c r="B61" s="1045" t="s">
        <v>1277</v>
      </c>
      <c r="C61" s="1296" t="s">
        <v>1895</v>
      </c>
      <c r="D61" s="1296"/>
      <c r="E61" s="1296"/>
      <c r="F61" s="1296"/>
      <c r="G61" s="1046">
        <v>1508375.28</v>
      </c>
      <c r="H61" s="1046">
        <v>286591.3</v>
      </c>
      <c r="I61" s="1120">
        <f t="shared" si="14"/>
        <v>1794966.58</v>
      </c>
      <c r="J61" s="703"/>
      <c r="K61" s="698"/>
      <c r="L61" s="704"/>
      <c r="M61" s="705"/>
    </row>
    <row r="62" spans="1:13" ht="17.45" hidden="1" customHeight="1" x14ac:dyDescent="0.3">
      <c r="A62" s="681"/>
      <c r="B62" s="1045" t="s">
        <v>1278</v>
      </c>
      <c r="C62" s="1296" t="s">
        <v>1795</v>
      </c>
      <c r="D62" s="1296"/>
      <c r="E62" s="1296"/>
      <c r="F62" s="1296"/>
      <c r="G62" s="1046" t="e">
        <f>'03-DO'!D12</f>
        <v>#REF!</v>
      </c>
      <c r="H62" s="1052"/>
      <c r="I62" s="1120" t="e">
        <f t="shared" si="14"/>
        <v>#REF!</v>
      </c>
      <c r="J62" s="683"/>
      <c r="K62" s="695"/>
    </row>
    <row r="63" spans="1:13" s="711" customFormat="1" ht="17.45" hidden="1" customHeight="1" x14ac:dyDescent="0.3">
      <c r="A63" s="707"/>
      <c r="B63" s="1045" t="s">
        <v>1304</v>
      </c>
      <c r="C63" s="1296" t="s">
        <v>1788</v>
      </c>
      <c r="D63" s="1296"/>
      <c r="E63" s="1296"/>
      <c r="F63" s="1296"/>
      <c r="G63" s="1046" t="e">
        <f>'04-DO'!D12</f>
        <v>#REF!</v>
      </c>
      <c r="H63" s="1052"/>
      <c r="I63" s="1120" t="e">
        <f t="shared" si="14"/>
        <v>#REF!</v>
      </c>
      <c r="J63" s="708"/>
      <c r="K63" s="709"/>
      <c r="L63" s="710"/>
    </row>
    <row r="64" spans="1:13" s="711" customFormat="1" ht="17.45" hidden="1" customHeight="1" x14ac:dyDescent="0.3">
      <c r="A64" s="707"/>
      <c r="B64" s="1045" t="s">
        <v>1524</v>
      </c>
      <c r="C64" s="1296" t="s">
        <v>1781</v>
      </c>
      <c r="D64" s="1296"/>
      <c r="E64" s="1296"/>
      <c r="F64" s="1296"/>
      <c r="G64" s="1046" t="e">
        <f>'05-DO'!D12</f>
        <v>#REF!</v>
      </c>
      <c r="H64" s="1052"/>
      <c r="I64" s="1120" t="e">
        <f t="shared" si="14"/>
        <v>#REF!</v>
      </c>
      <c r="J64" s="708"/>
      <c r="K64" s="709"/>
      <c r="L64" s="710"/>
    </row>
    <row r="65" spans="1:12" s="706" customFormat="1" ht="17.45" hidden="1" customHeight="1" x14ac:dyDescent="0.25">
      <c r="A65" s="681"/>
      <c r="B65" s="1045" t="s">
        <v>1305</v>
      </c>
      <c r="C65" s="1296" t="s">
        <v>1782</v>
      </c>
      <c r="D65" s="1296"/>
      <c r="E65" s="1296"/>
      <c r="F65" s="1296"/>
      <c r="G65" s="1046" t="e">
        <f>'06-DO'!D12</f>
        <v>#REF!</v>
      </c>
      <c r="H65" s="1052"/>
      <c r="I65" s="1120" t="e">
        <f t="shared" si="14"/>
        <v>#REF!</v>
      </c>
      <c r="J65" s="703"/>
      <c r="K65" s="698"/>
      <c r="L65" s="704"/>
    </row>
    <row r="66" spans="1:12" s="706" customFormat="1" ht="17.45" hidden="1" customHeight="1" x14ac:dyDescent="0.25">
      <c r="A66" s="681"/>
      <c r="B66" s="1045" t="s">
        <v>1306</v>
      </c>
      <c r="C66" s="1296" t="s">
        <v>1783</v>
      </c>
      <c r="D66" s="1296"/>
      <c r="E66" s="1296"/>
      <c r="F66" s="1296"/>
      <c r="G66" s="1046">
        <v>0</v>
      </c>
      <c r="H66" s="1052"/>
      <c r="I66" s="1120">
        <f t="shared" si="14"/>
        <v>0</v>
      </c>
      <c r="J66" s="703"/>
      <c r="K66" s="698"/>
      <c r="L66" s="704"/>
    </row>
    <row r="67" spans="1:12" s="706" customFormat="1" ht="17.45" hidden="1" customHeight="1" x14ac:dyDescent="0.25">
      <c r="A67" s="681"/>
      <c r="B67" s="1045" t="s">
        <v>1896</v>
      </c>
      <c r="C67" s="1296" t="s">
        <v>1780</v>
      </c>
      <c r="D67" s="1296"/>
      <c r="E67" s="1296"/>
      <c r="F67" s="1296"/>
      <c r="G67" s="1046">
        <v>0</v>
      </c>
      <c r="H67" s="1052"/>
      <c r="I67" s="1120">
        <f t="shared" si="14"/>
        <v>0</v>
      </c>
      <c r="J67" s="703"/>
      <c r="K67" s="698"/>
      <c r="L67" s="704"/>
    </row>
    <row r="68" spans="1:12" s="706" customFormat="1" ht="18.75" hidden="1" x14ac:dyDescent="0.25">
      <c r="A68" s="681"/>
      <c r="B68" s="1045" t="s">
        <v>1757</v>
      </c>
      <c r="C68" s="1296"/>
      <c r="D68" s="1296"/>
      <c r="E68" s="1296"/>
      <c r="F68" s="1296"/>
      <c r="G68" s="1046"/>
      <c r="H68" s="1052"/>
      <c r="I68" s="1120">
        <f t="shared" si="14"/>
        <v>0</v>
      </c>
      <c r="J68" s="703"/>
      <c r="K68" s="698"/>
      <c r="L68" s="704"/>
    </row>
    <row r="69" spans="1:12" s="706" customFormat="1" ht="18.75" x14ac:dyDescent="0.25">
      <c r="A69" s="681"/>
      <c r="B69" s="1045" t="s">
        <v>1278</v>
      </c>
      <c r="C69" s="1328" t="s">
        <v>1284</v>
      </c>
      <c r="D69" s="1329"/>
      <c r="E69" s="1329"/>
      <c r="F69" s="1330"/>
      <c r="G69" s="1046">
        <v>249749.66</v>
      </c>
      <c r="H69" s="1046">
        <v>47452.44</v>
      </c>
      <c r="I69" s="1120">
        <f t="shared" si="14"/>
        <v>297202.09999999998</v>
      </c>
      <c r="J69" s="703"/>
      <c r="K69" s="698"/>
      <c r="L69" s="704"/>
    </row>
    <row r="70" spans="1:12" s="702" customFormat="1" ht="17.45" customHeight="1" x14ac:dyDescent="0.25">
      <c r="A70" s="681"/>
      <c r="B70" s="1044" t="s">
        <v>39</v>
      </c>
      <c r="C70" s="1321" t="s">
        <v>1867</v>
      </c>
      <c r="D70" s="1321"/>
      <c r="E70" s="1321"/>
      <c r="F70" s="1321"/>
      <c r="G70" s="1050">
        <f>SUM(G71:G76)</f>
        <v>0</v>
      </c>
      <c r="H70" s="1050">
        <f>SUM(H71:H76)</f>
        <v>0</v>
      </c>
      <c r="I70" s="1051">
        <f>SUM(I71:I76)</f>
        <v>0</v>
      </c>
      <c r="J70" s="699"/>
      <c r="K70" s="712"/>
      <c r="L70" s="701"/>
    </row>
    <row r="71" spans="1:12" ht="17.45" hidden="1" customHeight="1" x14ac:dyDescent="0.3">
      <c r="A71" s="681"/>
      <c r="B71" s="1042" t="s">
        <v>1314</v>
      </c>
      <c r="C71" s="1296" t="str">
        <f t="shared" ref="C71:C76" si="15">C62</f>
        <v>OBIECT 3 - Amenajări exterioare</v>
      </c>
      <c r="D71" s="1307"/>
      <c r="E71" s="1307"/>
      <c r="F71" s="1307"/>
      <c r="G71" s="1046">
        <f t="shared" ref="G71:H76" si="16">F71*$E$130</f>
        <v>0</v>
      </c>
      <c r="H71" s="1046">
        <f t="shared" si="16"/>
        <v>0</v>
      </c>
      <c r="I71" s="1047">
        <f t="shared" ref="I71:I76" si="17">G71+H71</f>
        <v>0</v>
      </c>
      <c r="J71" s="683"/>
    </row>
    <row r="72" spans="1:12" ht="17.45" hidden="1" customHeight="1" x14ac:dyDescent="0.3">
      <c r="A72" s="681"/>
      <c r="B72" s="1042" t="s">
        <v>1314</v>
      </c>
      <c r="C72" s="1296" t="str">
        <f t="shared" si="15"/>
        <v>OBIECT 4 - Dotări Specifice</v>
      </c>
      <c r="D72" s="1307"/>
      <c r="E72" s="1307"/>
      <c r="F72" s="1307"/>
      <c r="G72" s="1046">
        <f t="shared" si="16"/>
        <v>0</v>
      </c>
      <c r="H72" s="1046">
        <f t="shared" si="16"/>
        <v>0</v>
      </c>
      <c r="I72" s="1047">
        <f t="shared" si="17"/>
        <v>0</v>
      </c>
      <c r="J72" s="683"/>
    </row>
    <row r="73" spans="1:12" ht="17.45" hidden="1" customHeight="1" x14ac:dyDescent="0.3">
      <c r="A73" s="681"/>
      <c r="B73" s="1042" t="s">
        <v>1314</v>
      </c>
      <c r="C73" s="1296" t="str">
        <f t="shared" si="15"/>
        <v>OBIECT 5 - Mansardare Clădire C02</v>
      </c>
      <c r="D73" s="1307"/>
      <c r="E73" s="1307"/>
      <c r="F73" s="1307"/>
      <c r="G73" s="1046">
        <f t="shared" si="16"/>
        <v>0</v>
      </c>
      <c r="H73" s="1046">
        <f t="shared" si="16"/>
        <v>0</v>
      </c>
      <c r="I73" s="1047">
        <f t="shared" si="17"/>
        <v>0</v>
      </c>
      <c r="J73" s="683"/>
    </row>
    <row r="74" spans="1:12" ht="17.45" hidden="1" customHeight="1" x14ac:dyDescent="0.3">
      <c r="A74" s="681"/>
      <c r="B74" s="1042" t="s">
        <v>1315</v>
      </c>
      <c r="C74" s="1296" t="str">
        <f t="shared" si="15"/>
        <v>OBIECT 6 - Realizare Sala de sport</v>
      </c>
      <c r="D74" s="1307"/>
      <c r="E74" s="1307"/>
      <c r="F74" s="1307"/>
      <c r="G74" s="1046">
        <f t="shared" si="16"/>
        <v>0</v>
      </c>
      <c r="H74" s="1046">
        <f t="shared" si="16"/>
        <v>0</v>
      </c>
      <c r="I74" s="1047">
        <f t="shared" si="17"/>
        <v>0</v>
      </c>
      <c r="J74" s="683"/>
    </row>
    <row r="75" spans="1:12" ht="17.45" hidden="1" customHeight="1" x14ac:dyDescent="0.3">
      <c r="A75" s="681"/>
      <c r="B75" s="1042" t="s">
        <v>1315</v>
      </c>
      <c r="C75" s="1296" t="str">
        <f t="shared" si="15"/>
        <v>OBIECT 7 - Dotari specifice</v>
      </c>
      <c r="D75" s="1307"/>
      <c r="E75" s="1307"/>
      <c r="F75" s="1307"/>
      <c r="G75" s="1046">
        <f t="shared" si="16"/>
        <v>0</v>
      </c>
      <c r="H75" s="1046">
        <f t="shared" si="16"/>
        <v>0</v>
      </c>
      <c r="I75" s="1047">
        <f t="shared" ref="I75" si="18">G75+H75</f>
        <v>0</v>
      </c>
      <c r="J75" s="683"/>
    </row>
    <row r="76" spans="1:12" ht="17.45" hidden="1" customHeight="1" x14ac:dyDescent="0.3">
      <c r="A76" s="681"/>
      <c r="B76" s="1042" t="s">
        <v>1318</v>
      </c>
      <c r="C76" s="1296" t="str">
        <f t="shared" si="15"/>
        <v>OBIECT 8 - Amenajare teren sportiv</v>
      </c>
      <c r="D76" s="1307"/>
      <c r="E76" s="1307"/>
      <c r="F76" s="1307"/>
      <c r="G76" s="1046">
        <f t="shared" si="16"/>
        <v>0</v>
      </c>
      <c r="H76" s="1046">
        <f t="shared" si="16"/>
        <v>0</v>
      </c>
      <c r="I76" s="1047">
        <f t="shared" si="17"/>
        <v>0</v>
      </c>
      <c r="J76" s="683"/>
    </row>
    <row r="77" spans="1:12" s="694" customFormat="1" ht="17.45" customHeight="1" x14ac:dyDescent="0.25">
      <c r="A77" s="681"/>
      <c r="B77" s="1044" t="s">
        <v>42</v>
      </c>
      <c r="C77" s="1325" t="s">
        <v>1421</v>
      </c>
      <c r="D77" s="1326"/>
      <c r="E77" s="1326"/>
      <c r="F77" s="1327"/>
      <c r="G77" s="1050">
        <f>SUM(G78:G83)</f>
        <v>0</v>
      </c>
      <c r="H77" s="1050">
        <f>SUM(H78:H83)</f>
        <v>0</v>
      </c>
      <c r="I77" s="1051">
        <f>SUM(I78:I83)</f>
        <v>0</v>
      </c>
      <c r="J77" s="683"/>
      <c r="K77" s="684"/>
      <c r="L77" s="685"/>
    </row>
    <row r="78" spans="1:12" ht="17.45" hidden="1" customHeight="1" x14ac:dyDescent="0.3">
      <c r="A78" s="681"/>
      <c r="B78" s="1042" t="s">
        <v>1307</v>
      </c>
      <c r="C78" s="1296" t="str">
        <f>C62</f>
        <v>OBIECT 3 - Amenajări exterioare</v>
      </c>
      <c r="D78" s="1307"/>
      <c r="E78" s="1307"/>
      <c r="F78" s="1307"/>
      <c r="G78" s="1046">
        <f>'03-DO'!D26</f>
        <v>0</v>
      </c>
      <c r="H78" s="1046">
        <f t="shared" ref="H78:H95" si="19">G78*$E$130</f>
        <v>0</v>
      </c>
      <c r="I78" s="1047">
        <f t="shared" ref="I78:I85" si="20">G78+H78</f>
        <v>0</v>
      </c>
      <c r="J78" s="683"/>
    </row>
    <row r="79" spans="1:12" ht="17.45" hidden="1" customHeight="1" x14ac:dyDescent="0.3">
      <c r="A79" s="681"/>
      <c r="B79" s="1042" t="s">
        <v>1308</v>
      </c>
      <c r="C79" s="1296" t="str">
        <f>C63</f>
        <v>OBIECT 4 - Dotări Specifice</v>
      </c>
      <c r="D79" s="1307"/>
      <c r="E79" s="1307"/>
      <c r="F79" s="1307"/>
      <c r="G79" s="1046">
        <f>'04-DO'!D26</f>
        <v>0</v>
      </c>
      <c r="H79" s="1046">
        <f t="shared" si="19"/>
        <v>0</v>
      </c>
      <c r="I79" s="1047">
        <f t="shared" si="20"/>
        <v>0</v>
      </c>
      <c r="J79" s="683"/>
    </row>
    <row r="80" spans="1:12" ht="17.45" hidden="1" customHeight="1" x14ac:dyDescent="0.3">
      <c r="A80" s="681"/>
      <c r="B80" s="1042" t="s">
        <v>1308</v>
      </c>
      <c r="C80" s="1296" t="str">
        <f>C64</f>
        <v>OBIECT 5 - Mansardare Clădire C02</v>
      </c>
      <c r="D80" s="1307"/>
      <c r="E80" s="1307"/>
      <c r="F80" s="1307"/>
      <c r="G80" s="1046">
        <f>'05-DO'!D26</f>
        <v>0</v>
      </c>
      <c r="H80" s="1046">
        <f t="shared" si="19"/>
        <v>0</v>
      </c>
      <c r="I80" s="1047">
        <f t="shared" si="20"/>
        <v>0</v>
      </c>
      <c r="J80" s="683"/>
    </row>
    <row r="81" spans="1:14" ht="17.45" hidden="1" customHeight="1" x14ac:dyDescent="0.3">
      <c r="A81" s="681"/>
      <c r="B81" s="1042" t="s">
        <v>1309</v>
      </c>
      <c r="C81" s="1296" t="str">
        <f>C65</f>
        <v>OBIECT 6 - Realizare Sala de sport</v>
      </c>
      <c r="D81" s="1307"/>
      <c r="E81" s="1307"/>
      <c r="F81" s="1307"/>
      <c r="G81" s="1046">
        <f>'06-DO'!D26</f>
        <v>0</v>
      </c>
      <c r="H81" s="1046">
        <f t="shared" si="19"/>
        <v>0</v>
      </c>
      <c r="I81" s="1047">
        <f t="shared" si="20"/>
        <v>0</v>
      </c>
      <c r="J81" s="683"/>
    </row>
    <row r="82" spans="1:14" ht="17.45" hidden="1" customHeight="1" x14ac:dyDescent="0.3">
      <c r="A82" s="681"/>
      <c r="B82" s="1042" t="s">
        <v>1309</v>
      </c>
      <c r="C82" s="1296" t="str">
        <f>C66</f>
        <v>OBIECT 7 - Dotari specifice</v>
      </c>
      <c r="D82" s="1307"/>
      <c r="E82" s="1307"/>
      <c r="F82" s="1307"/>
      <c r="G82" s="1046">
        <f>'07-DO'!D26</f>
        <v>0</v>
      </c>
      <c r="H82" s="1046">
        <f t="shared" si="19"/>
        <v>0</v>
      </c>
      <c r="I82" s="1047">
        <f t="shared" ref="I82" si="21">G82+H82</f>
        <v>0</v>
      </c>
      <c r="J82" s="683"/>
    </row>
    <row r="83" spans="1:14" ht="17.45" hidden="1" customHeight="1" x14ac:dyDescent="0.3">
      <c r="A83" s="681"/>
      <c r="B83" s="1042" t="s">
        <v>1312</v>
      </c>
      <c r="C83" s="1296" t="str">
        <f>C76</f>
        <v>OBIECT 8 - Amenajare teren sportiv</v>
      </c>
      <c r="D83" s="1307"/>
      <c r="E83" s="1307"/>
      <c r="F83" s="1307"/>
      <c r="G83" s="1046">
        <f>'08-DO'!D26</f>
        <v>0</v>
      </c>
      <c r="H83" s="1046">
        <f t="shared" si="19"/>
        <v>0</v>
      </c>
      <c r="I83" s="1047">
        <f t="shared" si="20"/>
        <v>0</v>
      </c>
      <c r="J83" s="683"/>
    </row>
    <row r="84" spans="1:14" s="694" customFormat="1" ht="34.15" customHeight="1" x14ac:dyDescent="0.25">
      <c r="A84" s="681"/>
      <c r="B84" s="1053" t="s">
        <v>44</v>
      </c>
      <c r="C84" s="1310" t="s">
        <v>1868</v>
      </c>
      <c r="D84" s="1311"/>
      <c r="E84" s="1311"/>
      <c r="F84" s="1311"/>
      <c r="G84" s="1050">
        <v>0</v>
      </c>
      <c r="H84" s="1050">
        <f t="shared" si="19"/>
        <v>0</v>
      </c>
      <c r="I84" s="1051">
        <f t="shared" si="20"/>
        <v>0</v>
      </c>
      <c r="J84" s="683"/>
      <c r="K84" s="684"/>
      <c r="L84" s="685"/>
    </row>
    <row r="85" spans="1:14" s="714" customFormat="1" ht="17.45" customHeight="1" x14ac:dyDescent="0.25">
      <c r="A85" s="681"/>
      <c r="B85" s="1044" t="s">
        <v>45</v>
      </c>
      <c r="C85" s="1324" t="s">
        <v>1864</v>
      </c>
      <c r="D85" s="1324"/>
      <c r="E85" s="1324"/>
      <c r="F85" s="1324"/>
      <c r="G85" s="1050">
        <v>0</v>
      </c>
      <c r="H85" s="1050">
        <f t="shared" si="19"/>
        <v>0</v>
      </c>
      <c r="I85" s="1051">
        <f t="shared" si="20"/>
        <v>0</v>
      </c>
      <c r="J85" s="713"/>
      <c r="K85" s="712"/>
      <c r="L85" s="701"/>
    </row>
    <row r="86" spans="1:14" ht="17.45" hidden="1" customHeight="1" x14ac:dyDescent="0.3">
      <c r="A86" s="681"/>
      <c r="B86" s="1054" t="s">
        <v>1518</v>
      </c>
      <c r="C86" s="1322" t="str">
        <f>C61</f>
        <v>Arhitectură (reabilitare termică)</v>
      </c>
      <c r="D86" s="1323"/>
      <c r="E86" s="1323"/>
      <c r="F86" s="1323"/>
      <c r="G86" s="1038">
        <f>'01-DO Max'!D24</f>
        <v>0</v>
      </c>
      <c r="H86" s="1038">
        <f t="shared" si="19"/>
        <v>0</v>
      </c>
      <c r="I86" s="1039">
        <f>G86+H86</f>
        <v>0</v>
      </c>
      <c r="J86" s="683"/>
      <c r="N86" s="715"/>
    </row>
    <row r="87" spans="1:14" ht="17.45" hidden="1" customHeight="1" x14ac:dyDescent="0.3">
      <c r="A87" s="681"/>
      <c r="B87" s="1054" t="s">
        <v>1519</v>
      </c>
      <c r="C87" s="1322" t="e">
        <f>#REF!</f>
        <v>#REF!</v>
      </c>
      <c r="D87" s="1323"/>
      <c r="E87" s="1323"/>
      <c r="F87" s="1323"/>
      <c r="G87" s="1038" t="e">
        <f>#REF!</f>
        <v>#REF!</v>
      </c>
      <c r="H87" s="1038" t="e">
        <f t="shared" si="19"/>
        <v>#REF!</v>
      </c>
      <c r="I87" s="1039" t="e">
        <f>G87+H87</f>
        <v>#REF!</v>
      </c>
      <c r="J87" s="683"/>
    </row>
    <row r="88" spans="1:14" ht="17.45" hidden="1" customHeight="1" x14ac:dyDescent="0.3">
      <c r="A88" s="681"/>
      <c r="B88" s="1054" t="s">
        <v>1520</v>
      </c>
      <c r="C88" s="1322" t="str">
        <f>C62</f>
        <v>OBIECT 3 - Amenajări exterioare</v>
      </c>
      <c r="D88" s="1323"/>
      <c r="E88" s="1323"/>
      <c r="F88" s="1323"/>
      <c r="G88" s="1038">
        <f>'03-DO'!D28</f>
        <v>0</v>
      </c>
      <c r="H88" s="1038">
        <f t="shared" si="19"/>
        <v>0</v>
      </c>
      <c r="I88" s="1039">
        <f t="shared" ref="I88:I94" si="22">G88+H88</f>
        <v>0</v>
      </c>
      <c r="J88" s="683"/>
    </row>
    <row r="89" spans="1:14" ht="17.45" hidden="1" customHeight="1" x14ac:dyDescent="0.3">
      <c r="A89" s="681"/>
      <c r="B89" s="1054" t="s">
        <v>1521</v>
      </c>
      <c r="C89" s="1322" t="str">
        <f>C63</f>
        <v>OBIECT 4 - Dotări Specifice</v>
      </c>
      <c r="D89" s="1323"/>
      <c r="E89" s="1323"/>
      <c r="F89" s="1323"/>
      <c r="G89" s="1038">
        <f>'04-DO'!D28</f>
        <v>0</v>
      </c>
      <c r="H89" s="1038">
        <f t="shared" si="19"/>
        <v>0</v>
      </c>
      <c r="I89" s="1039">
        <f t="shared" si="22"/>
        <v>0</v>
      </c>
      <c r="J89" s="683"/>
    </row>
    <row r="90" spans="1:14" ht="17.45" hidden="1" customHeight="1" x14ac:dyDescent="0.3">
      <c r="A90" s="681"/>
      <c r="B90" s="1054" t="s">
        <v>1520</v>
      </c>
      <c r="C90" s="1322" t="str">
        <f>C64</f>
        <v>OBIECT 5 - Mansardare Clădire C02</v>
      </c>
      <c r="D90" s="1323"/>
      <c r="E90" s="1323"/>
      <c r="F90" s="1323"/>
      <c r="G90" s="1038">
        <f>'05-DO'!D28</f>
        <v>0</v>
      </c>
      <c r="H90" s="1038">
        <f t="shared" si="19"/>
        <v>0</v>
      </c>
      <c r="I90" s="1039">
        <f t="shared" si="22"/>
        <v>0</v>
      </c>
      <c r="J90" s="683"/>
    </row>
    <row r="91" spans="1:14" ht="17.45" hidden="1" customHeight="1" x14ac:dyDescent="0.3">
      <c r="A91" s="681"/>
      <c r="B91" s="1054" t="s">
        <v>1521</v>
      </c>
      <c r="C91" s="1322" t="str">
        <f>C65</f>
        <v>OBIECT 6 - Realizare Sala de sport</v>
      </c>
      <c r="D91" s="1323"/>
      <c r="E91" s="1323"/>
      <c r="F91" s="1323"/>
      <c r="G91" s="1038">
        <f>'06-DO'!D28</f>
        <v>0</v>
      </c>
      <c r="H91" s="1038">
        <f t="shared" si="19"/>
        <v>0</v>
      </c>
      <c r="I91" s="1039">
        <f t="shared" si="22"/>
        <v>0</v>
      </c>
      <c r="J91" s="683"/>
    </row>
    <row r="92" spans="1:14" ht="17.45" hidden="1" customHeight="1" x14ac:dyDescent="0.3">
      <c r="A92" s="681"/>
      <c r="B92" s="1054" t="s">
        <v>1521</v>
      </c>
      <c r="C92" s="1322" t="str">
        <f>C66</f>
        <v>OBIECT 7 - Dotari specifice</v>
      </c>
      <c r="D92" s="1323"/>
      <c r="E92" s="1323"/>
      <c r="F92" s="1323"/>
      <c r="G92" s="1038">
        <f>'07-DO'!D28</f>
        <v>0</v>
      </c>
      <c r="H92" s="1038">
        <f t="shared" si="19"/>
        <v>0</v>
      </c>
      <c r="I92" s="1039">
        <f t="shared" ref="I92" si="23">G92+H92</f>
        <v>0</v>
      </c>
      <c r="J92" s="683"/>
    </row>
    <row r="93" spans="1:14" ht="17.850000000000001" hidden="1" customHeight="1" x14ac:dyDescent="0.3">
      <c r="A93" s="681"/>
      <c r="B93" s="1054" t="s">
        <v>1522</v>
      </c>
      <c r="C93" s="1322" t="str">
        <f>C83</f>
        <v>OBIECT 8 - Amenajare teren sportiv</v>
      </c>
      <c r="D93" s="1322"/>
      <c r="E93" s="1322"/>
      <c r="F93" s="1322"/>
      <c r="G93" s="1038">
        <f>'08-DO'!D28</f>
        <v>0</v>
      </c>
      <c r="H93" s="1038">
        <f t="shared" si="19"/>
        <v>0</v>
      </c>
      <c r="I93" s="1039">
        <f t="shared" si="22"/>
        <v>0</v>
      </c>
      <c r="J93" s="683"/>
    </row>
    <row r="94" spans="1:14" ht="17.45" hidden="1" customHeight="1" x14ac:dyDescent="0.3">
      <c r="A94" s="681"/>
      <c r="B94" s="1054" t="s">
        <v>1523</v>
      </c>
      <c r="C94" s="1357"/>
      <c r="D94" s="1358"/>
      <c r="E94" s="1358"/>
      <c r="F94" s="1359"/>
      <c r="G94" s="1038">
        <v>0</v>
      </c>
      <c r="H94" s="1038">
        <f t="shared" si="19"/>
        <v>0</v>
      </c>
      <c r="I94" s="1039">
        <f t="shared" si="22"/>
        <v>0</v>
      </c>
      <c r="J94" s="683"/>
    </row>
    <row r="95" spans="1:14" s="714" customFormat="1" ht="17.45" customHeight="1" x14ac:dyDescent="0.25">
      <c r="A95" s="681"/>
      <c r="B95" s="1044" t="s">
        <v>47</v>
      </c>
      <c r="C95" s="1324" t="s">
        <v>48</v>
      </c>
      <c r="D95" s="1324"/>
      <c r="E95" s="1324"/>
      <c r="F95" s="1324"/>
      <c r="G95" s="1050">
        <v>0</v>
      </c>
      <c r="H95" s="1050">
        <f t="shared" si="19"/>
        <v>0</v>
      </c>
      <c r="I95" s="1051">
        <f>G95+H95</f>
        <v>0</v>
      </c>
      <c r="J95" s="713"/>
      <c r="K95" s="712"/>
      <c r="L95" s="701"/>
    </row>
    <row r="96" spans="1:14" ht="17.45" customHeight="1" thickBot="1" x14ac:dyDescent="0.3">
      <c r="A96" s="681"/>
      <c r="B96" s="1290" t="s">
        <v>49</v>
      </c>
      <c r="C96" s="1291"/>
      <c r="D96" s="1291"/>
      <c r="E96" s="1291"/>
      <c r="F96" s="1291"/>
      <c r="G96" s="1040">
        <f>G95+G85+G84+G77+G70+G58</f>
        <v>2802500.74</v>
      </c>
      <c r="H96" s="1040">
        <f>H95+H85+H84+H77+H70+H58</f>
        <v>532475.1399999999</v>
      </c>
      <c r="I96" s="1041">
        <f>I95+I85+I84+I77+I70+I58</f>
        <v>3334975.88</v>
      </c>
      <c r="J96" s="683"/>
    </row>
    <row r="97" spans="1:12" ht="17.45" customHeight="1" x14ac:dyDescent="0.25">
      <c r="A97" s="681"/>
      <c r="B97" s="1332" t="s">
        <v>50</v>
      </c>
      <c r="C97" s="1333"/>
      <c r="D97" s="1333"/>
      <c r="E97" s="1333"/>
      <c r="F97" s="1333"/>
      <c r="G97" s="1333"/>
      <c r="H97" s="1333"/>
      <c r="I97" s="1334"/>
      <c r="J97" s="683"/>
    </row>
    <row r="98" spans="1:12" ht="17.45" customHeight="1" x14ac:dyDescent="0.25">
      <c r="A98" s="681"/>
      <c r="B98" s="1368" t="s">
        <v>51</v>
      </c>
      <c r="C98" s="1369"/>
      <c r="D98" s="1369"/>
      <c r="E98" s="1369"/>
      <c r="F98" s="1369"/>
      <c r="G98" s="1369"/>
      <c r="H98" s="1369"/>
      <c r="I98" s="1370"/>
      <c r="J98" s="683"/>
    </row>
    <row r="99" spans="1:12" s="694" customFormat="1" ht="17.45" customHeight="1" x14ac:dyDescent="0.25">
      <c r="A99" s="681"/>
      <c r="B99" s="1053" t="s">
        <v>52</v>
      </c>
      <c r="C99" s="1310" t="s">
        <v>1794</v>
      </c>
      <c r="D99" s="1311"/>
      <c r="E99" s="1311"/>
      <c r="F99" s="1311"/>
      <c r="G99" s="1050">
        <f t="shared" ref="G99:I99" si="24">G100+G101</f>
        <v>42187.511100000003</v>
      </c>
      <c r="H99" s="1050">
        <f t="shared" si="24"/>
        <v>8015.627109</v>
      </c>
      <c r="I99" s="1051">
        <f t="shared" si="24"/>
        <v>50203.138209000004</v>
      </c>
      <c r="J99" s="683"/>
      <c r="K99" s="684"/>
      <c r="L99" s="685"/>
    </row>
    <row r="100" spans="1:12" s="694" customFormat="1" ht="49.5" customHeight="1" x14ac:dyDescent="0.25">
      <c r="A100" s="681"/>
      <c r="B100" s="1042" t="s">
        <v>53</v>
      </c>
      <c r="C100" s="1308" t="s">
        <v>1872</v>
      </c>
      <c r="D100" s="1308"/>
      <c r="E100" s="1308"/>
      <c r="F100" s="1308"/>
      <c r="G100" s="1046">
        <f>1.5%*70%*(G14+G16+G17+G29+G58)</f>
        <v>29531.25777</v>
      </c>
      <c r="H100" s="1046">
        <f>G100*$E$130</f>
        <v>5610.9389762999999</v>
      </c>
      <c r="I100" s="1047">
        <f>G100+H100</f>
        <v>35142.196746300004</v>
      </c>
      <c r="J100" s="683"/>
      <c r="K100" s="684"/>
      <c r="L100" s="685"/>
    </row>
    <row r="101" spans="1:12" s="717" customFormat="1" ht="30.75" customHeight="1" x14ac:dyDescent="0.25">
      <c r="A101" s="687"/>
      <c r="B101" s="1042" t="s">
        <v>54</v>
      </c>
      <c r="C101" s="1308" t="s">
        <v>1873</v>
      </c>
      <c r="D101" s="1309"/>
      <c r="E101" s="1309"/>
      <c r="F101" s="1309"/>
      <c r="G101" s="1046">
        <f>1.5%*30%*(G14+G16+G17+G29+G58)</f>
        <v>12656.25333</v>
      </c>
      <c r="H101" s="1046">
        <f>G101*$E$130</f>
        <v>2404.6881327000001</v>
      </c>
      <c r="I101" s="1047">
        <f>G101+H101</f>
        <v>15060.941462700001</v>
      </c>
      <c r="J101" s="688"/>
      <c r="K101" s="716"/>
      <c r="L101" s="690"/>
    </row>
    <row r="102" spans="1:12" s="694" customFormat="1" ht="17.45" customHeight="1" x14ac:dyDescent="0.25">
      <c r="A102" s="718"/>
      <c r="B102" s="1044" t="s">
        <v>55</v>
      </c>
      <c r="C102" s="1310" t="s">
        <v>1419</v>
      </c>
      <c r="D102" s="1311"/>
      <c r="E102" s="1311"/>
      <c r="F102" s="1311"/>
      <c r="G102" s="1050">
        <f>SUM(G103:G107)</f>
        <v>21894.221997770001</v>
      </c>
      <c r="H102" s="1050">
        <v>0</v>
      </c>
      <c r="I102" s="1051">
        <f>G102+H102</f>
        <v>21894.221997770001</v>
      </c>
      <c r="J102" s="683"/>
      <c r="K102" s="684"/>
      <c r="L102" s="685"/>
    </row>
    <row r="103" spans="1:12" s="694" customFormat="1" ht="17.45" customHeight="1" x14ac:dyDescent="0.25">
      <c r="A103" s="718"/>
      <c r="B103" s="1042" t="s">
        <v>1409</v>
      </c>
      <c r="C103" s="1371" t="s">
        <v>1414</v>
      </c>
      <c r="D103" s="1371"/>
      <c r="E103" s="1371"/>
      <c r="F103" s="1371"/>
      <c r="G103" s="1046">
        <v>0</v>
      </c>
      <c r="H103" s="1046">
        <v>0</v>
      </c>
      <c r="I103" s="1047">
        <f t="shared" ref="I103:I107" si="25">G103+H103</f>
        <v>0</v>
      </c>
      <c r="J103" s="683"/>
      <c r="K103" s="684"/>
      <c r="L103" s="685"/>
    </row>
    <row r="104" spans="1:12" s="694" customFormat="1" ht="31.5" customHeight="1" x14ac:dyDescent="0.25">
      <c r="A104" s="718"/>
      <c r="B104" s="1042" t="s">
        <v>1410</v>
      </c>
      <c r="C104" s="1367" t="s">
        <v>1418</v>
      </c>
      <c r="D104" s="1367"/>
      <c r="E104" s="1367"/>
      <c r="F104" s="1367"/>
      <c r="G104" s="1046">
        <v>14210.16</v>
      </c>
      <c r="H104" s="1046">
        <v>0</v>
      </c>
      <c r="I104" s="1047">
        <f>G104</f>
        <v>14210.16</v>
      </c>
      <c r="J104" s="683"/>
      <c r="K104" s="684"/>
      <c r="L104" s="685"/>
    </row>
    <row r="105" spans="1:12" s="694" customFormat="1" ht="32.25" customHeight="1" x14ac:dyDescent="0.25">
      <c r="A105" s="718"/>
      <c r="B105" s="1042" t="s">
        <v>1411</v>
      </c>
      <c r="C105" s="1367" t="s">
        <v>1890</v>
      </c>
      <c r="D105" s="1367"/>
      <c r="E105" s="1367"/>
      <c r="F105" s="1367"/>
      <c r="G105" s="1046">
        <v>2842.03</v>
      </c>
      <c r="H105" s="1046">
        <v>0</v>
      </c>
      <c r="I105" s="1047">
        <f>G105</f>
        <v>2842.03</v>
      </c>
      <c r="J105" s="683"/>
      <c r="K105" s="684"/>
      <c r="L105" s="685"/>
    </row>
    <row r="106" spans="1:12" s="694" customFormat="1" ht="15.75" customHeight="1" x14ac:dyDescent="0.25">
      <c r="A106" s="718"/>
      <c r="B106" s="1042" t="s">
        <v>1412</v>
      </c>
      <c r="C106" s="1367" t="s">
        <v>1765</v>
      </c>
      <c r="D106" s="1367"/>
      <c r="E106" s="1367"/>
      <c r="F106" s="1367"/>
      <c r="G106" s="1046">
        <f>0.1%*(G14+G16+G17+G29+G58+G70+G100)</f>
        <v>2842.0319977700001</v>
      </c>
      <c r="H106" s="1046">
        <v>0</v>
      </c>
      <c r="I106" s="1047">
        <f t="shared" si="25"/>
        <v>2842.0319977700001</v>
      </c>
      <c r="J106" s="683"/>
      <c r="K106" s="684"/>
      <c r="L106" s="685"/>
    </row>
    <row r="107" spans="1:12" s="694" customFormat="1" ht="47.25" customHeight="1" x14ac:dyDescent="0.25">
      <c r="A107" s="718"/>
      <c r="B107" s="1042" t="s">
        <v>1413</v>
      </c>
      <c r="C107" s="1372" t="s">
        <v>1834</v>
      </c>
      <c r="D107" s="1373"/>
      <c r="E107" s="1373"/>
      <c r="F107" s="1374"/>
      <c r="G107" s="1046">
        <v>2000</v>
      </c>
      <c r="H107" s="1046">
        <v>0</v>
      </c>
      <c r="I107" s="1047">
        <f t="shared" si="25"/>
        <v>2000</v>
      </c>
      <c r="J107" s="683"/>
      <c r="K107" s="684"/>
      <c r="L107" s="685"/>
    </row>
    <row r="108" spans="1:12" s="694" customFormat="1" ht="17.45" customHeight="1" x14ac:dyDescent="0.25">
      <c r="A108" s="681"/>
      <c r="B108" s="1044" t="s">
        <v>56</v>
      </c>
      <c r="C108" s="1310" t="s">
        <v>57</v>
      </c>
      <c r="D108" s="1311"/>
      <c r="E108" s="1311"/>
      <c r="F108" s="1311"/>
      <c r="G108" s="1050">
        <f t="shared" ref="G108:I108" si="26">SUM(G109:G111)</f>
        <v>306813.12099999998</v>
      </c>
      <c r="H108" s="1050">
        <f t="shared" si="26"/>
        <v>58294.492989999999</v>
      </c>
      <c r="I108" s="1051">
        <f t="shared" si="26"/>
        <v>365107.61392999999</v>
      </c>
      <c r="J108" s="683"/>
      <c r="K108" s="684"/>
      <c r="L108" s="685"/>
    </row>
    <row r="109" spans="1:12" s="694" customFormat="1" ht="17.45" customHeight="1" x14ac:dyDescent="0.25">
      <c r="A109" s="681"/>
      <c r="B109" s="1042" t="s">
        <v>58</v>
      </c>
      <c r="C109" s="1309" t="s">
        <v>1817</v>
      </c>
      <c r="D109" s="1307"/>
      <c r="E109" s="1307"/>
      <c r="F109" s="1307"/>
      <c r="G109" s="1046">
        <f>10%*(G14+G16+G17+G29+G39+G50+G96)</f>
        <v>306813.12099999998</v>
      </c>
      <c r="H109" s="1046">
        <f>19%*G109</f>
        <v>58294.492989999999</v>
      </c>
      <c r="I109" s="1047">
        <f>10%*(I14+I16+I17+I29+I39+I50+I96)</f>
        <v>365107.61392999999</v>
      </c>
      <c r="J109" s="683"/>
      <c r="K109" s="684"/>
      <c r="L109" s="685"/>
    </row>
    <row r="110" spans="1:12" s="694" customFormat="1" ht="17.45" hidden="1" customHeight="1" x14ac:dyDescent="0.3">
      <c r="A110" s="681"/>
      <c r="B110" s="1042" t="s">
        <v>60</v>
      </c>
      <c r="C110" s="1297" t="s">
        <v>59</v>
      </c>
      <c r="D110" s="1298"/>
      <c r="E110" s="1298"/>
      <c r="F110" s="1298"/>
      <c r="G110" s="1046"/>
      <c r="H110" s="1046"/>
      <c r="I110" s="1047"/>
      <c r="J110" s="683"/>
      <c r="K110" s="684"/>
      <c r="L110" s="685"/>
    </row>
    <row r="111" spans="1:12" s="694" customFormat="1" ht="17.45" hidden="1" customHeight="1" x14ac:dyDescent="0.3">
      <c r="A111" s="681"/>
      <c r="B111" s="1042" t="s">
        <v>60</v>
      </c>
      <c r="C111" s="1297" t="s">
        <v>78</v>
      </c>
      <c r="D111" s="1298"/>
      <c r="E111" s="1298"/>
      <c r="F111" s="1298"/>
      <c r="G111" s="1046"/>
      <c r="H111" s="1046"/>
      <c r="I111" s="1047"/>
      <c r="J111" s="683"/>
      <c r="K111" s="684"/>
      <c r="L111" s="685"/>
    </row>
    <row r="112" spans="1:12" s="694" customFormat="1" ht="17.45" customHeight="1" x14ac:dyDescent="0.25">
      <c r="A112" s="681"/>
      <c r="B112" s="1044" t="s">
        <v>1514</v>
      </c>
      <c r="C112" s="1311" t="s">
        <v>1515</v>
      </c>
      <c r="D112" s="1321"/>
      <c r="E112" s="1321"/>
      <c r="F112" s="1321"/>
      <c r="G112" s="1050">
        <v>0</v>
      </c>
      <c r="H112" s="1050">
        <v>0</v>
      </c>
      <c r="I112" s="1050">
        <v>0</v>
      </c>
      <c r="J112" s="683"/>
      <c r="K112" s="684"/>
      <c r="L112" s="685"/>
    </row>
    <row r="113" spans="1:18" ht="17.45" customHeight="1" thickBot="1" x14ac:dyDescent="0.3">
      <c r="A113" s="681"/>
      <c r="B113" s="1299" t="s">
        <v>61</v>
      </c>
      <c r="C113" s="1300"/>
      <c r="D113" s="1300"/>
      <c r="E113" s="1300"/>
      <c r="F113" s="1300"/>
      <c r="G113" s="1040">
        <f>G99+G102+G108+G112</f>
        <v>370894.85409777</v>
      </c>
      <c r="H113" s="1040">
        <f>H99+H102+H108+H112</f>
        <v>66310.120098999992</v>
      </c>
      <c r="I113" s="1041">
        <f>I99+I102+I108+I112</f>
        <v>437204.97413677</v>
      </c>
      <c r="J113" s="683"/>
    </row>
    <row r="114" spans="1:18" ht="17.45" customHeight="1" x14ac:dyDescent="0.25">
      <c r="A114" s="681"/>
      <c r="B114" s="1301" t="s">
        <v>1425</v>
      </c>
      <c r="C114" s="1302"/>
      <c r="D114" s="1302"/>
      <c r="E114" s="1302"/>
      <c r="F114" s="1302"/>
      <c r="G114" s="1302"/>
      <c r="H114" s="1302"/>
      <c r="I114" s="1303"/>
      <c r="J114" s="683"/>
    </row>
    <row r="115" spans="1:18" ht="17.45" customHeight="1" x14ac:dyDescent="0.25">
      <c r="A115" s="681"/>
      <c r="B115" s="1304" t="s">
        <v>1322</v>
      </c>
      <c r="C115" s="1305"/>
      <c r="D115" s="1305"/>
      <c r="E115" s="1305"/>
      <c r="F115" s="1305"/>
      <c r="G115" s="1305"/>
      <c r="H115" s="1305"/>
      <c r="I115" s="1306"/>
      <c r="J115" s="683"/>
    </row>
    <row r="116" spans="1:18" ht="17.45" customHeight="1" x14ac:dyDescent="0.25">
      <c r="A116" s="681"/>
      <c r="B116" s="1045" t="s">
        <v>62</v>
      </c>
      <c r="C116" s="1296" t="s">
        <v>63</v>
      </c>
      <c r="D116" s="1307"/>
      <c r="E116" s="1307"/>
      <c r="F116" s="1307"/>
      <c r="G116" s="1046">
        <v>0</v>
      </c>
      <c r="H116" s="1046">
        <f>G116*$E$130</f>
        <v>0</v>
      </c>
      <c r="I116" s="1047">
        <f>G116+H116</f>
        <v>0</v>
      </c>
      <c r="J116" s="683"/>
    </row>
    <row r="117" spans="1:18" ht="17.45" customHeight="1" x14ac:dyDescent="0.25">
      <c r="A117" s="681"/>
      <c r="B117" s="1049" t="s">
        <v>64</v>
      </c>
      <c r="C117" s="1307" t="s">
        <v>65</v>
      </c>
      <c r="D117" s="1307"/>
      <c r="E117" s="1307"/>
      <c r="F117" s="1307"/>
      <c r="G117" s="1046">
        <v>5000</v>
      </c>
      <c r="H117" s="1046">
        <f>G117*$E$130</f>
        <v>950</v>
      </c>
      <c r="I117" s="1047">
        <f>G117+H117</f>
        <v>5950</v>
      </c>
      <c r="J117" s="683"/>
    </row>
    <row r="118" spans="1:18" ht="17.45" customHeight="1" thickBot="1" x14ac:dyDescent="0.3">
      <c r="A118" s="681"/>
      <c r="B118" s="1290" t="s">
        <v>66</v>
      </c>
      <c r="C118" s="1291"/>
      <c r="D118" s="1291"/>
      <c r="E118" s="1291"/>
      <c r="F118" s="1291"/>
      <c r="G118" s="1040">
        <f t="shared" ref="G118:I118" si="27">G116+G117</f>
        <v>5000</v>
      </c>
      <c r="H118" s="1040">
        <f t="shared" si="27"/>
        <v>950</v>
      </c>
      <c r="I118" s="1041">
        <f t="shared" si="27"/>
        <v>5950</v>
      </c>
      <c r="J118" s="683"/>
    </row>
    <row r="119" spans="1:18" ht="17.45" customHeight="1" x14ac:dyDescent="0.25">
      <c r="A119" s="681"/>
      <c r="B119" s="1292" t="s">
        <v>67</v>
      </c>
      <c r="C119" s="1293"/>
      <c r="D119" s="1293"/>
      <c r="E119" s="1293"/>
      <c r="F119" s="1293"/>
      <c r="G119" s="1055">
        <f>G18+G29+G55+G96+G113+G118</f>
        <v>3464026.06409777</v>
      </c>
      <c r="H119" s="1055">
        <f>H18+H29+H55+H96+H113+H118</f>
        <v>651725.04939899989</v>
      </c>
      <c r="I119" s="1056">
        <f>I18+I29+I55+I96+I113+I118</f>
        <v>4115751.1134367697</v>
      </c>
      <c r="J119" s="683"/>
      <c r="L119" s="719"/>
    </row>
    <row r="120" spans="1:18" ht="17.45" customHeight="1" thickBot="1" x14ac:dyDescent="0.3">
      <c r="A120" s="681"/>
      <c r="B120" s="1294" t="s">
        <v>1424</v>
      </c>
      <c r="C120" s="1295"/>
      <c r="D120" s="1295"/>
      <c r="E120" s="1295"/>
      <c r="F120" s="1295"/>
      <c r="G120" s="1057">
        <f>G14+G16+G17+G29+G58+G70+G100</f>
        <v>2842031.9977700002</v>
      </c>
      <c r="H120" s="1057">
        <f>H14+H16+H17+H29+H58+H70+H100</f>
        <v>539986.07897629985</v>
      </c>
      <c r="I120" s="1058">
        <f>I14+I16+I17+I29+I58+I70+I100</f>
        <v>3382018.0767462999</v>
      </c>
      <c r="J120" s="683"/>
    </row>
    <row r="121" spans="1:18" s="706" customFormat="1" ht="34.15" hidden="1" customHeight="1" x14ac:dyDescent="0.3">
      <c r="A121" s="681"/>
      <c r="B121" s="1312" t="s">
        <v>1810</v>
      </c>
      <c r="C121" s="1313"/>
      <c r="D121" s="1313"/>
      <c r="E121" s="1313"/>
      <c r="F121" s="1314"/>
      <c r="G121" s="1059">
        <f>'DG-cap3'!G19</f>
        <v>30000</v>
      </c>
      <c r="H121" s="1059">
        <f>G121*E130</f>
        <v>5700</v>
      </c>
      <c r="I121" s="1059">
        <f t="shared" ref="I121:I122" si="28">G121+H121</f>
        <v>35700</v>
      </c>
      <c r="J121" s="703"/>
      <c r="K121" s="806"/>
      <c r="L121" s="704"/>
      <c r="M121" s="186"/>
    </row>
    <row r="122" spans="1:18" s="706" customFormat="1" ht="34.15" hidden="1" customHeight="1" x14ac:dyDescent="0.3">
      <c r="A122" s="681"/>
      <c r="B122" s="1377" t="s">
        <v>1797</v>
      </c>
      <c r="C122" s="1378"/>
      <c r="D122" s="1378"/>
      <c r="E122" s="1378"/>
      <c r="F122" s="1379"/>
      <c r="G122" s="1043">
        <v>0</v>
      </c>
      <c r="H122" s="1043">
        <f>G122*0.19</f>
        <v>0</v>
      </c>
      <c r="I122" s="1043">
        <f t="shared" si="28"/>
        <v>0</v>
      </c>
      <c r="J122" s="703"/>
      <c r="K122" s="806"/>
      <c r="L122" s="704"/>
      <c r="M122" s="186"/>
    </row>
    <row r="123" spans="1:18" s="706" customFormat="1" ht="34.15" hidden="1" customHeight="1" x14ac:dyDescent="0.3">
      <c r="A123" s="681"/>
      <c r="B123" s="1377" t="s">
        <v>1798</v>
      </c>
      <c r="C123" s="1378"/>
      <c r="D123" s="1378"/>
      <c r="E123" s="1378"/>
      <c r="F123" s="1379"/>
      <c r="G123" s="1043">
        <f>'DG-cap3'!G14</f>
        <v>12000</v>
      </c>
      <c r="H123" s="1043">
        <f>G123*0.19</f>
        <v>2280</v>
      </c>
      <c r="I123" s="1043">
        <f t="shared" ref="I123" si="29">G123+H123</f>
        <v>14280</v>
      </c>
      <c r="J123" s="703"/>
      <c r="K123" s="806"/>
      <c r="L123" s="704"/>
      <c r="M123" s="186" t="s">
        <v>3</v>
      </c>
      <c r="R123" s="706">
        <f>K128*2%</f>
        <v>0</v>
      </c>
    </row>
    <row r="124" spans="1:18" ht="17.45" hidden="1" customHeight="1" x14ac:dyDescent="0.3">
      <c r="B124" s="1375" t="s">
        <v>1785</v>
      </c>
      <c r="C124" s="1376"/>
      <c r="D124" s="1376"/>
      <c r="E124" s="1376"/>
      <c r="F124" s="1376"/>
      <c r="G124" s="1050">
        <f t="shared" ref="G124:I124" si="30">G119-SUM(G121:G123)</f>
        <v>3422026.06409777</v>
      </c>
      <c r="H124" s="1050">
        <f t="shared" si="30"/>
        <v>643745.04939899989</v>
      </c>
      <c r="I124" s="1050">
        <f t="shared" si="30"/>
        <v>4065771.1134367697</v>
      </c>
    </row>
    <row r="125" spans="1:18" ht="17.45" hidden="1" customHeight="1" thickBot="1" x14ac:dyDescent="0.35">
      <c r="B125" s="1285" t="s">
        <v>80</v>
      </c>
      <c r="C125" s="1286"/>
      <c r="D125" s="1286"/>
      <c r="E125" s="1286"/>
      <c r="F125" s="1286"/>
      <c r="G125" s="1060">
        <f>G120</f>
        <v>2842031.9977700002</v>
      </c>
      <c r="H125" s="1060">
        <f t="shared" ref="H125:I125" si="31">H120</f>
        <v>539986.07897629985</v>
      </c>
      <c r="I125" s="1060">
        <f t="shared" si="31"/>
        <v>3382018.0767462999</v>
      </c>
    </row>
    <row r="126" spans="1:18" x14ac:dyDescent="0.25">
      <c r="B126" s="1061"/>
      <c r="C126" s="1062"/>
      <c r="D126" s="1062"/>
      <c r="E126" s="1062"/>
      <c r="F126" s="1062"/>
      <c r="G126" s="1063"/>
      <c r="H126" s="1063"/>
      <c r="I126" s="1063"/>
      <c r="K126" s="805"/>
      <c r="L126" s="583"/>
    </row>
    <row r="127" spans="1:18" x14ac:dyDescent="0.25">
      <c r="B127" s="1061"/>
      <c r="C127" s="1062"/>
      <c r="D127" s="1062"/>
      <c r="E127" s="1062"/>
      <c r="F127" s="1363" t="s">
        <v>1819</v>
      </c>
      <c r="G127" s="1364"/>
      <c r="H127" s="1364"/>
      <c r="I127" s="1064">
        <f>I119/E129</f>
        <v>869825.03401246271</v>
      </c>
      <c r="K127" s="805"/>
      <c r="L127" s="583"/>
    </row>
    <row r="128" spans="1:18" x14ac:dyDescent="0.25">
      <c r="B128" s="1065"/>
      <c r="C128" s="1366" t="s">
        <v>1297</v>
      </c>
      <c r="D128" s="1366"/>
      <c r="E128" s="1066">
        <v>43692</v>
      </c>
      <c r="F128" s="1065"/>
      <c r="G128" s="1063"/>
      <c r="H128" s="1063"/>
      <c r="I128" s="1067" t="s">
        <v>1825</v>
      </c>
      <c r="K128" s="858"/>
      <c r="L128" s="856"/>
      <c r="M128" s="857"/>
      <c r="N128" s="859"/>
    </row>
    <row r="129" spans="2:12" x14ac:dyDescent="0.25">
      <c r="B129" s="1065"/>
      <c r="C129" s="1365" t="s">
        <v>1298</v>
      </c>
      <c r="D129" s="1365"/>
      <c r="E129" s="1068">
        <f>'DG-cap3'!D35</f>
        <v>4.7317</v>
      </c>
      <c r="F129" s="1062"/>
      <c r="G129" s="1063"/>
      <c r="H129" s="1063"/>
      <c r="I129" s="1063"/>
    </row>
    <row r="130" spans="2:12" x14ac:dyDescent="0.25">
      <c r="B130" s="1069"/>
      <c r="C130" s="1356" t="s">
        <v>1301</v>
      </c>
      <c r="D130" s="1356"/>
      <c r="E130" s="1070">
        <v>0.19</v>
      </c>
      <c r="F130" s="1062"/>
      <c r="G130" s="1063"/>
      <c r="H130" s="1063"/>
      <c r="I130" s="1067"/>
    </row>
    <row r="131" spans="2:12" ht="17.45" hidden="1" x14ac:dyDescent="0.3">
      <c r="B131" s="1069"/>
      <c r="C131" s="1071"/>
      <c r="D131" s="1062"/>
      <c r="E131" s="1062"/>
      <c r="F131" s="1062"/>
      <c r="G131" s="1063"/>
      <c r="H131" s="1063"/>
      <c r="I131" s="1072"/>
    </row>
    <row r="132" spans="2:12" x14ac:dyDescent="0.25">
      <c r="B132" s="1069"/>
      <c r="C132" s="1071"/>
      <c r="D132" s="1062"/>
      <c r="E132" s="1062"/>
      <c r="F132" s="1062"/>
      <c r="G132" s="1063"/>
      <c r="H132" s="1063"/>
      <c r="I132" s="1067" t="s">
        <v>1824</v>
      </c>
      <c r="L132" s="682"/>
    </row>
    <row r="133" spans="2:12" x14ac:dyDescent="0.25">
      <c r="B133" s="1069"/>
      <c r="C133" s="1071"/>
      <c r="D133" s="1062"/>
      <c r="E133" s="1062"/>
      <c r="F133" s="1062"/>
      <c r="G133" s="1063"/>
      <c r="H133" s="1063"/>
      <c r="I133" s="1063"/>
      <c r="L133" s="682"/>
    </row>
    <row r="134" spans="2:12" x14ac:dyDescent="0.25">
      <c r="B134" s="1069"/>
      <c r="C134" s="1065"/>
      <c r="D134" s="1062"/>
      <c r="E134" s="1062"/>
      <c r="F134" s="1062"/>
      <c r="G134" s="1063"/>
      <c r="H134" s="1063"/>
      <c r="I134" s="1067" t="s">
        <v>1818</v>
      </c>
    </row>
    <row r="135" spans="2:12" x14ac:dyDescent="0.25">
      <c r="B135" s="1069"/>
      <c r="C135" s="1065"/>
      <c r="D135" s="1062"/>
      <c r="E135" s="1062"/>
      <c r="F135" s="1073"/>
      <c r="G135" s="1063"/>
      <c r="H135" s="1063"/>
      <c r="I135" s="1067" t="s">
        <v>1823</v>
      </c>
    </row>
    <row r="136" spans="2:12" x14ac:dyDescent="0.25">
      <c r="B136" s="1074"/>
      <c r="C136" s="1062"/>
      <c r="D136" s="1062"/>
      <c r="E136" s="1062"/>
      <c r="F136" s="1073"/>
      <c r="G136" s="1063"/>
      <c r="H136" s="1063"/>
      <c r="I136" s="1067" t="s">
        <v>1874</v>
      </c>
    </row>
    <row r="137" spans="2:12" x14ac:dyDescent="0.25">
      <c r="B137" s="1069"/>
      <c r="C137" s="1071"/>
      <c r="D137" s="1062"/>
      <c r="E137" s="1062"/>
      <c r="F137" s="1062"/>
      <c r="G137" s="1063"/>
      <c r="H137" s="1063"/>
      <c r="I137" s="1063"/>
      <c r="L137" s="682"/>
    </row>
    <row r="138" spans="2:12" x14ac:dyDescent="0.25">
      <c r="B138" s="1069"/>
      <c r="C138" s="1071"/>
      <c r="D138" s="1062"/>
      <c r="E138" s="1062"/>
      <c r="F138" s="1062"/>
      <c r="G138" s="1063"/>
      <c r="H138" s="1063"/>
      <c r="I138" s="1063"/>
    </row>
    <row r="139" spans="2:12" x14ac:dyDescent="0.25">
      <c r="B139" s="1069"/>
      <c r="C139" s="1065"/>
      <c r="D139" s="1062"/>
      <c r="E139" s="1062"/>
      <c r="F139" s="1062"/>
      <c r="G139" s="1063"/>
      <c r="H139" s="1063"/>
      <c r="I139" s="1063"/>
    </row>
    <row r="140" spans="2:12" x14ac:dyDescent="0.25">
      <c r="B140" s="932"/>
      <c r="C140" s="933"/>
      <c r="D140" s="933"/>
      <c r="E140" s="933"/>
      <c r="F140" s="937"/>
      <c r="G140" s="934"/>
      <c r="H140" s="934"/>
      <c r="I140" s="934"/>
    </row>
    <row r="141" spans="2:12" x14ac:dyDescent="0.25">
      <c r="B141" s="936"/>
      <c r="C141" s="935"/>
      <c r="D141" s="933"/>
      <c r="E141" s="933"/>
      <c r="F141" s="937"/>
      <c r="G141" s="934"/>
      <c r="H141" s="934"/>
      <c r="I141" s="934"/>
    </row>
    <row r="142" spans="2:12" x14ac:dyDescent="0.25">
      <c r="B142" s="936"/>
      <c r="C142" s="935"/>
      <c r="D142" s="933"/>
      <c r="E142" s="933"/>
      <c r="F142" s="937"/>
      <c r="G142" s="934"/>
      <c r="H142" s="934"/>
      <c r="I142" s="934"/>
    </row>
    <row r="143" spans="2:12" x14ac:dyDescent="0.25">
      <c r="B143" s="724"/>
      <c r="C143" s="725"/>
      <c r="D143" s="722"/>
      <c r="E143" s="722"/>
      <c r="F143" s="723"/>
      <c r="G143" s="49"/>
      <c r="H143" s="49"/>
      <c r="I143" s="49"/>
    </row>
    <row r="144" spans="2:12" x14ac:dyDescent="0.25">
      <c r="B144" s="721"/>
      <c r="C144" s="722"/>
      <c r="D144" s="722"/>
      <c r="E144" s="722"/>
      <c r="F144" s="723"/>
      <c r="G144" s="49"/>
      <c r="H144" s="49"/>
      <c r="I144" s="49"/>
    </row>
    <row r="145" spans="2:9" x14ac:dyDescent="0.25">
      <c r="B145" s="721"/>
      <c r="C145" s="722"/>
      <c r="D145" s="722"/>
      <c r="E145" s="722"/>
      <c r="F145" s="723"/>
      <c r="G145" s="49"/>
      <c r="H145" s="49"/>
      <c r="I145" s="49"/>
    </row>
    <row r="146" spans="2:9" x14ac:dyDescent="0.25">
      <c r="B146" s="721"/>
      <c r="C146" s="722"/>
      <c r="D146" s="722"/>
      <c r="E146" s="722"/>
      <c r="F146" s="722"/>
      <c r="G146" s="49"/>
      <c r="H146" s="49"/>
      <c r="I146" s="49"/>
    </row>
    <row r="147" spans="2:9" x14ac:dyDescent="0.25">
      <c r="B147" s="721"/>
      <c r="C147" s="722"/>
      <c r="D147" s="722"/>
      <c r="E147" s="722"/>
      <c r="F147" s="722"/>
      <c r="G147" s="49"/>
      <c r="H147" s="49"/>
      <c r="I147" s="49"/>
    </row>
    <row r="148" spans="2:9" x14ac:dyDescent="0.25">
      <c r="B148" s="721"/>
      <c r="C148" s="722"/>
      <c r="D148" s="722"/>
      <c r="E148" s="722"/>
      <c r="F148" s="722"/>
      <c r="G148" s="49"/>
      <c r="H148" s="49"/>
      <c r="I148" s="49"/>
    </row>
    <row r="149" spans="2:9" x14ac:dyDescent="0.25">
      <c r="B149" s="721"/>
      <c r="C149" s="722"/>
      <c r="D149" s="722"/>
      <c r="E149" s="722"/>
      <c r="F149" s="722"/>
      <c r="G149" s="49"/>
      <c r="H149" s="49"/>
      <c r="I149" s="49"/>
    </row>
    <row r="150" spans="2:9" x14ac:dyDescent="0.25">
      <c r="B150" s="721"/>
      <c r="C150" s="722"/>
      <c r="D150" s="722"/>
      <c r="E150" s="722"/>
      <c r="F150" s="722"/>
      <c r="G150" s="49"/>
      <c r="H150" s="49"/>
      <c r="I150" s="49"/>
    </row>
    <row r="151" spans="2:9" x14ac:dyDescent="0.25">
      <c r="B151" s="721"/>
      <c r="C151" s="722"/>
      <c r="D151" s="722"/>
      <c r="E151" s="722"/>
      <c r="F151" s="722"/>
      <c r="G151" s="49"/>
      <c r="H151" s="49"/>
      <c r="I151" s="49"/>
    </row>
    <row r="152" spans="2:9" x14ac:dyDescent="0.25">
      <c r="B152" s="721"/>
      <c r="C152" s="722"/>
      <c r="D152" s="722"/>
      <c r="E152" s="722"/>
      <c r="F152" s="722"/>
      <c r="G152" s="49"/>
      <c r="H152" s="49"/>
      <c r="I152" s="49"/>
    </row>
    <row r="153" spans="2:9" x14ac:dyDescent="0.25">
      <c r="B153" s="721"/>
      <c r="C153" s="722"/>
      <c r="D153" s="722"/>
      <c r="E153" s="722"/>
      <c r="F153" s="722"/>
      <c r="G153" s="49"/>
      <c r="H153" s="49"/>
      <c r="I153" s="49"/>
    </row>
    <row r="154" spans="2:9" x14ac:dyDescent="0.25">
      <c r="B154" s="721"/>
      <c r="C154" s="722"/>
      <c r="D154" s="722"/>
      <c r="E154" s="722"/>
      <c r="F154" s="722"/>
      <c r="G154" s="49"/>
      <c r="H154" s="49"/>
      <c r="I154" s="49"/>
    </row>
    <row r="155" spans="2:9" x14ac:dyDescent="0.25">
      <c r="B155" s="721"/>
      <c r="C155" s="722"/>
      <c r="D155" s="722"/>
      <c r="E155" s="722"/>
      <c r="F155" s="722"/>
      <c r="G155" s="49"/>
      <c r="H155" s="49"/>
      <c r="I155" s="49"/>
    </row>
    <row r="156" spans="2:9" x14ac:dyDescent="0.25">
      <c r="B156" s="721"/>
      <c r="C156" s="722"/>
      <c r="D156" s="722"/>
      <c r="E156" s="722"/>
      <c r="F156" s="722"/>
      <c r="G156" s="49"/>
      <c r="H156" s="49"/>
      <c r="I156" s="49"/>
    </row>
    <row r="157" spans="2:9" x14ac:dyDescent="0.25">
      <c r="B157" s="721"/>
      <c r="C157" s="722"/>
      <c r="D157" s="722"/>
      <c r="E157" s="722"/>
      <c r="F157" s="722"/>
      <c r="G157" s="49"/>
      <c r="H157" s="49"/>
      <c r="I157" s="49"/>
    </row>
    <row r="158" spans="2:9" x14ac:dyDescent="0.25">
      <c r="B158" s="721"/>
      <c r="C158" s="722"/>
      <c r="D158" s="722"/>
      <c r="E158" s="722"/>
      <c r="F158" s="722"/>
      <c r="G158" s="49"/>
      <c r="H158" s="49"/>
      <c r="I158" s="49"/>
    </row>
    <row r="159" spans="2:9" x14ac:dyDescent="0.25">
      <c r="B159" s="721"/>
      <c r="C159" s="722"/>
      <c r="D159" s="722"/>
      <c r="E159" s="722"/>
      <c r="F159" s="722"/>
      <c r="G159" s="49"/>
      <c r="H159" s="49"/>
      <c r="I159" s="49"/>
    </row>
    <row r="160" spans="2:9" x14ac:dyDescent="0.25">
      <c r="B160" s="721"/>
      <c r="C160" s="722"/>
      <c r="D160" s="722"/>
      <c r="E160" s="722"/>
      <c r="F160" s="722"/>
      <c r="G160" s="49"/>
      <c r="H160" s="49"/>
      <c r="I160" s="49"/>
    </row>
    <row r="161" spans="2:9" x14ac:dyDescent="0.25">
      <c r="B161" s="721"/>
      <c r="C161" s="722"/>
      <c r="D161" s="722"/>
      <c r="E161" s="722"/>
      <c r="F161" s="722"/>
      <c r="G161" s="49"/>
      <c r="H161" s="49"/>
      <c r="I161" s="49"/>
    </row>
    <row r="162" spans="2:9" x14ac:dyDescent="0.25">
      <c r="B162" s="721"/>
      <c r="C162" s="722"/>
      <c r="D162" s="722"/>
      <c r="E162" s="722"/>
      <c r="F162" s="722"/>
      <c r="G162" s="49"/>
      <c r="H162" s="49"/>
      <c r="I162" s="49"/>
    </row>
    <row r="163" spans="2:9" x14ac:dyDescent="0.25">
      <c r="B163" s="721"/>
      <c r="C163" s="722"/>
      <c r="D163" s="722"/>
      <c r="E163" s="722"/>
      <c r="F163" s="722"/>
      <c r="G163" s="49"/>
      <c r="H163" s="49"/>
      <c r="I163" s="49"/>
    </row>
    <row r="164" spans="2:9" x14ac:dyDescent="0.25">
      <c r="B164" s="721"/>
      <c r="C164" s="722"/>
      <c r="D164" s="722"/>
      <c r="E164" s="722"/>
      <c r="F164" s="722"/>
      <c r="G164" s="49"/>
      <c r="H164" s="49"/>
      <c r="I164" s="49"/>
    </row>
    <row r="165" spans="2:9" x14ac:dyDescent="0.25">
      <c r="B165" s="721"/>
      <c r="C165" s="722"/>
      <c r="D165" s="722"/>
      <c r="E165" s="722"/>
      <c r="F165" s="722"/>
      <c r="G165" s="49"/>
      <c r="H165" s="49"/>
      <c r="I165" s="49"/>
    </row>
    <row r="166" spans="2:9" x14ac:dyDescent="0.25">
      <c r="B166" s="721"/>
      <c r="C166" s="722"/>
      <c r="D166" s="722"/>
      <c r="E166" s="722"/>
      <c r="F166" s="722"/>
      <c r="G166" s="49"/>
      <c r="H166" s="49"/>
      <c r="I166" s="49"/>
    </row>
    <row r="167" spans="2:9" x14ac:dyDescent="0.25">
      <c r="B167" s="721"/>
      <c r="C167" s="722"/>
      <c r="D167" s="722"/>
      <c r="E167" s="722"/>
      <c r="F167" s="722"/>
      <c r="G167" s="49"/>
      <c r="H167" s="49"/>
      <c r="I167" s="49"/>
    </row>
    <row r="168" spans="2:9" x14ac:dyDescent="0.25">
      <c r="B168" s="726"/>
      <c r="C168" s="720"/>
      <c r="D168" s="720"/>
      <c r="E168" s="720"/>
      <c r="F168" s="720"/>
      <c r="G168" s="53"/>
      <c r="H168" s="53"/>
      <c r="I168" s="53"/>
    </row>
    <row r="169" spans="2:9" x14ac:dyDescent="0.25">
      <c r="B169" s="726"/>
      <c r="C169" s="720"/>
      <c r="D169" s="720"/>
      <c r="E169" s="720"/>
      <c r="F169" s="720"/>
      <c r="G169" s="53"/>
      <c r="H169" s="53"/>
      <c r="I169" s="53"/>
    </row>
    <row r="170" spans="2:9" x14ac:dyDescent="0.25">
      <c r="B170" s="726"/>
      <c r="C170" s="720"/>
      <c r="D170" s="720"/>
      <c r="E170" s="720"/>
      <c r="F170" s="720"/>
      <c r="G170" s="53"/>
      <c r="H170" s="53"/>
      <c r="I170" s="53"/>
    </row>
    <row r="171" spans="2:9" x14ac:dyDescent="0.25">
      <c r="B171" s="726"/>
      <c r="C171" s="720"/>
      <c r="D171" s="720"/>
      <c r="E171" s="720"/>
      <c r="F171" s="720"/>
      <c r="G171" s="53"/>
      <c r="H171" s="53"/>
      <c r="I171" s="53"/>
    </row>
    <row r="172" spans="2:9" x14ac:dyDescent="0.25">
      <c r="B172" s="726"/>
      <c r="C172" s="720"/>
      <c r="D172" s="720"/>
      <c r="E172" s="720"/>
      <c r="F172" s="720"/>
      <c r="G172" s="53"/>
      <c r="H172" s="53"/>
      <c r="I172" s="53"/>
    </row>
    <row r="173" spans="2:9" x14ac:dyDescent="0.25">
      <c r="B173" s="726"/>
      <c r="C173" s="720"/>
      <c r="D173" s="720"/>
      <c r="E173" s="720"/>
      <c r="F173" s="720"/>
      <c r="G173" s="53"/>
      <c r="H173" s="53"/>
      <c r="I173" s="53"/>
    </row>
    <row r="174" spans="2:9" x14ac:dyDescent="0.25">
      <c r="B174" s="726"/>
      <c r="C174" s="720"/>
      <c r="D174" s="720"/>
      <c r="E174" s="720"/>
      <c r="F174" s="720"/>
      <c r="G174" s="53"/>
      <c r="H174" s="53"/>
      <c r="I174" s="53"/>
    </row>
    <row r="175" spans="2:9" x14ac:dyDescent="0.25">
      <c r="B175" s="726"/>
      <c r="C175" s="720"/>
      <c r="D175" s="720"/>
      <c r="E175" s="720"/>
      <c r="F175" s="720"/>
      <c r="G175" s="53"/>
      <c r="H175" s="53"/>
      <c r="I175" s="53"/>
    </row>
    <row r="176" spans="2:9" x14ac:dyDescent="0.25">
      <c r="B176" s="726"/>
      <c r="C176" s="720"/>
      <c r="D176" s="720"/>
      <c r="E176" s="720"/>
      <c r="F176" s="720"/>
      <c r="G176" s="53"/>
      <c r="H176" s="53"/>
      <c r="I176" s="53"/>
    </row>
    <row r="177" spans="2:9" x14ac:dyDescent="0.25">
      <c r="B177" s="726"/>
      <c r="C177" s="720"/>
      <c r="D177" s="720"/>
      <c r="E177" s="720"/>
      <c r="F177" s="720"/>
      <c r="G177" s="53"/>
      <c r="H177" s="53"/>
      <c r="I177" s="53"/>
    </row>
    <row r="178" spans="2:9" x14ac:dyDescent="0.25">
      <c r="B178" s="726"/>
      <c r="C178" s="720"/>
      <c r="D178" s="720"/>
      <c r="E178" s="720"/>
      <c r="F178" s="720"/>
      <c r="G178" s="53"/>
      <c r="H178" s="53"/>
      <c r="I178" s="53"/>
    </row>
    <row r="179" spans="2:9" x14ac:dyDescent="0.25">
      <c r="B179" s="726"/>
      <c r="C179" s="720"/>
      <c r="D179" s="720"/>
      <c r="E179" s="720"/>
      <c r="F179" s="720"/>
      <c r="G179" s="53"/>
      <c r="H179" s="53"/>
      <c r="I179" s="53"/>
    </row>
    <row r="180" spans="2:9" x14ac:dyDescent="0.25">
      <c r="B180" s="726"/>
      <c r="C180" s="720"/>
      <c r="D180" s="720"/>
      <c r="E180" s="720"/>
      <c r="F180" s="720"/>
      <c r="G180" s="53"/>
      <c r="H180" s="53"/>
      <c r="I180" s="53"/>
    </row>
    <row r="181" spans="2:9" x14ac:dyDescent="0.25">
      <c r="B181" s="726"/>
      <c r="C181" s="720"/>
      <c r="D181" s="720"/>
      <c r="E181" s="720"/>
      <c r="F181" s="720"/>
      <c r="G181" s="53"/>
      <c r="H181" s="53"/>
      <c r="I181" s="53"/>
    </row>
    <row r="182" spans="2:9" x14ac:dyDescent="0.25">
      <c r="B182" s="726"/>
      <c r="C182" s="720"/>
      <c r="D182" s="720"/>
      <c r="E182" s="720"/>
      <c r="F182" s="720"/>
      <c r="G182" s="53"/>
      <c r="H182" s="53"/>
      <c r="I182" s="53"/>
    </row>
    <row r="183" spans="2:9" x14ac:dyDescent="0.25">
      <c r="B183" s="726"/>
      <c r="C183" s="720"/>
      <c r="D183" s="720"/>
      <c r="E183" s="720"/>
      <c r="F183" s="720"/>
      <c r="G183" s="53"/>
      <c r="H183" s="53"/>
      <c r="I183" s="53"/>
    </row>
    <row r="184" spans="2:9" x14ac:dyDescent="0.25">
      <c r="B184" s="726"/>
      <c r="C184" s="720"/>
      <c r="D184" s="720"/>
      <c r="E184" s="720"/>
      <c r="F184" s="720"/>
      <c r="G184" s="53"/>
      <c r="H184" s="53"/>
      <c r="I184" s="53"/>
    </row>
    <row r="185" spans="2:9" x14ac:dyDescent="0.25">
      <c r="B185" s="726"/>
      <c r="C185" s="720"/>
      <c r="D185" s="720"/>
      <c r="E185" s="720"/>
      <c r="F185" s="720"/>
      <c r="G185" s="53"/>
      <c r="H185" s="53"/>
      <c r="I185" s="53"/>
    </row>
    <row r="186" spans="2:9" x14ac:dyDescent="0.25">
      <c r="B186" s="726"/>
      <c r="C186" s="720"/>
      <c r="D186" s="720"/>
      <c r="E186" s="720"/>
      <c r="F186" s="720"/>
      <c r="G186" s="53"/>
      <c r="H186" s="53"/>
      <c r="I186" s="53"/>
    </row>
    <row r="187" spans="2:9" x14ac:dyDescent="0.25">
      <c r="B187" s="726"/>
      <c r="C187" s="720"/>
      <c r="D187" s="720"/>
      <c r="E187" s="720"/>
      <c r="F187" s="720"/>
      <c r="G187" s="53"/>
      <c r="H187" s="53"/>
      <c r="I187" s="53"/>
    </row>
    <row r="188" spans="2:9" x14ac:dyDescent="0.25">
      <c r="B188" s="726"/>
      <c r="C188" s="720"/>
      <c r="D188" s="720"/>
      <c r="E188" s="720"/>
      <c r="F188" s="720"/>
      <c r="G188" s="53"/>
      <c r="H188" s="53"/>
      <c r="I188" s="53"/>
    </row>
    <row r="189" spans="2:9" x14ac:dyDescent="0.25">
      <c r="B189" s="726"/>
      <c r="C189" s="720"/>
      <c r="D189" s="720"/>
      <c r="E189" s="720"/>
      <c r="F189" s="720"/>
      <c r="G189" s="53"/>
      <c r="H189" s="53"/>
      <c r="I189" s="53"/>
    </row>
    <row r="190" spans="2:9" x14ac:dyDescent="0.25">
      <c r="B190" s="726"/>
      <c r="C190" s="720"/>
      <c r="D190" s="720"/>
      <c r="E190" s="720"/>
      <c r="F190" s="720"/>
      <c r="G190" s="53"/>
      <c r="H190" s="53"/>
      <c r="I190" s="53"/>
    </row>
    <row r="191" spans="2:9" x14ac:dyDescent="0.25">
      <c r="B191" s="726"/>
      <c r="C191" s="720"/>
      <c r="D191" s="720"/>
      <c r="E191" s="720"/>
      <c r="F191" s="720"/>
      <c r="G191" s="53"/>
      <c r="H191" s="53"/>
      <c r="I191" s="53"/>
    </row>
    <row r="192" spans="2:9" x14ac:dyDescent="0.25">
      <c r="B192" s="726"/>
      <c r="C192" s="720"/>
      <c r="D192" s="720"/>
      <c r="E192" s="720"/>
      <c r="F192" s="720"/>
      <c r="G192" s="53"/>
      <c r="H192" s="53"/>
      <c r="I192" s="53"/>
    </row>
    <row r="193" spans="2:9" x14ac:dyDescent="0.25">
      <c r="B193" s="726"/>
      <c r="C193" s="720"/>
      <c r="D193" s="720"/>
      <c r="E193" s="720"/>
      <c r="F193" s="720"/>
      <c r="G193" s="53"/>
      <c r="H193" s="53"/>
      <c r="I193" s="53"/>
    </row>
    <row r="194" spans="2:9" x14ac:dyDescent="0.25">
      <c r="B194" s="726"/>
      <c r="C194" s="720"/>
      <c r="D194" s="720"/>
      <c r="E194" s="720"/>
      <c r="F194" s="720"/>
      <c r="G194" s="53"/>
      <c r="H194" s="53"/>
      <c r="I194" s="53"/>
    </row>
    <row r="195" spans="2:9" x14ac:dyDescent="0.25">
      <c r="B195" s="726"/>
      <c r="C195" s="720"/>
      <c r="D195" s="720"/>
      <c r="E195" s="720"/>
      <c r="F195" s="720"/>
      <c r="G195" s="53"/>
      <c r="H195" s="53"/>
      <c r="I195" s="53"/>
    </row>
    <row r="196" spans="2:9" x14ac:dyDescent="0.25">
      <c r="B196" s="726"/>
      <c r="C196" s="720"/>
      <c r="D196" s="720"/>
      <c r="E196" s="720"/>
      <c r="F196" s="720"/>
      <c r="G196" s="53"/>
      <c r="H196" s="53"/>
      <c r="I196" s="53"/>
    </row>
    <row r="197" spans="2:9" x14ac:dyDescent="0.25">
      <c r="B197" s="726"/>
      <c r="C197" s="720"/>
      <c r="D197" s="720"/>
      <c r="E197" s="720"/>
      <c r="F197" s="720"/>
      <c r="G197" s="53"/>
      <c r="H197" s="53"/>
      <c r="I197" s="53"/>
    </row>
    <row r="198" spans="2:9" x14ac:dyDescent="0.25">
      <c r="B198" s="726"/>
      <c r="C198" s="720"/>
      <c r="D198" s="720"/>
      <c r="E198" s="720"/>
      <c r="F198" s="720"/>
      <c r="G198" s="53"/>
      <c r="H198" s="53"/>
      <c r="I198" s="53"/>
    </row>
    <row r="199" spans="2:9" x14ac:dyDescent="0.25">
      <c r="B199" s="726"/>
      <c r="C199" s="720"/>
      <c r="D199" s="720"/>
      <c r="E199" s="720"/>
      <c r="F199" s="720"/>
      <c r="G199" s="53"/>
      <c r="H199" s="53"/>
      <c r="I199" s="53"/>
    </row>
    <row r="200" spans="2:9" x14ac:dyDescent="0.25">
      <c r="B200" s="726"/>
      <c r="C200" s="720"/>
      <c r="D200" s="720"/>
      <c r="E200" s="720"/>
      <c r="F200" s="720"/>
      <c r="G200" s="53"/>
      <c r="H200" s="53"/>
      <c r="I200" s="53"/>
    </row>
    <row r="201" spans="2:9" x14ac:dyDescent="0.25">
      <c r="B201" s="726"/>
      <c r="C201" s="720"/>
      <c r="D201" s="720"/>
      <c r="E201" s="720"/>
      <c r="F201" s="720"/>
      <c r="G201" s="53"/>
      <c r="H201" s="53"/>
      <c r="I201" s="53"/>
    </row>
    <row r="202" spans="2:9" x14ac:dyDescent="0.25">
      <c r="B202" s="726"/>
      <c r="C202" s="720"/>
      <c r="D202" s="720"/>
      <c r="E202" s="720"/>
      <c r="F202" s="720"/>
      <c r="G202" s="53"/>
      <c r="H202" s="53"/>
      <c r="I202" s="53"/>
    </row>
  </sheetData>
  <mergeCells count="127">
    <mergeCell ref="C129:D129"/>
    <mergeCell ref="C128:D128"/>
    <mergeCell ref="C105:F105"/>
    <mergeCell ref="C104:F104"/>
    <mergeCell ref="C95:F95"/>
    <mergeCell ref="B96:F96"/>
    <mergeCell ref="B97:I97"/>
    <mergeCell ref="B98:I98"/>
    <mergeCell ref="C103:F103"/>
    <mergeCell ref="C99:F99"/>
    <mergeCell ref="C107:F107"/>
    <mergeCell ref="C106:F106"/>
    <mergeCell ref="B124:F124"/>
    <mergeCell ref="C109:F109"/>
    <mergeCell ref="C108:F108"/>
    <mergeCell ref="C110:F110"/>
    <mergeCell ref="B123:F123"/>
    <mergeCell ref="B122:F122"/>
    <mergeCell ref="C130:D130"/>
    <mergeCell ref="C112:F112"/>
    <mergeCell ref="B31:I31"/>
    <mergeCell ref="B20:I20"/>
    <mergeCell ref="C24:F24"/>
    <mergeCell ref="C27:F27"/>
    <mergeCell ref="B29:F29"/>
    <mergeCell ref="C63:F63"/>
    <mergeCell ref="C94:F94"/>
    <mergeCell ref="C93:F93"/>
    <mergeCell ref="C91:F91"/>
    <mergeCell ref="C90:F90"/>
    <mergeCell ref="C92:F92"/>
    <mergeCell ref="C35:F35"/>
    <mergeCell ref="C34:F34"/>
    <mergeCell ref="C53:F53"/>
    <mergeCell ref="C52:F52"/>
    <mergeCell ref="C62:F62"/>
    <mergeCell ref="C51:F51"/>
    <mergeCell ref="C46:F46"/>
    <mergeCell ref="C45:F45"/>
    <mergeCell ref="C44:F44"/>
    <mergeCell ref="F127:H127"/>
    <mergeCell ref="C43:F43"/>
    <mergeCell ref="C47:F47"/>
    <mergeCell ref="C50:F50"/>
    <mergeCell ref="B55:F55"/>
    <mergeCell ref="C39:F39"/>
    <mergeCell ref="C42:F42"/>
    <mergeCell ref="C41:F41"/>
    <mergeCell ref="C40:F40"/>
    <mergeCell ref="C49:F49"/>
    <mergeCell ref="C48:F48"/>
    <mergeCell ref="C54:F54"/>
    <mergeCell ref="C33:F33"/>
    <mergeCell ref="C37:F37"/>
    <mergeCell ref="B30:I30"/>
    <mergeCell ref="B3:I3"/>
    <mergeCell ref="B4:I4"/>
    <mergeCell ref="B5:I5"/>
    <mergeCell ref="B6:I6"/>
    <mergeCell ref="C14:F14"/>
    <mergeCell ref="B8:B10"/>
    <mergeCell ref="C8:F10"/>
    <mergeCell ref="B11:I11"/>
    <mergeCell ref="B12:I12"/>
    <mergeCell ref="C13:F13"/>
    <mergeCell ref="C17:F17"/>
    <mergeCell ref="C15:F15"/>
    <mergeCell ref="C16:F16"/>
    <mergeCell ref="B18:F18"/>
    <mergeCell ref="B19:I19"/>
    <mergeCell ref="C32:F32"/>
    <mergeCell ref="C36:F36"/>
    <mergeCell ref="C22:F22"/>
    <mergeCell ref="C21:F21"/>
    <mergeCell ref="C23:F23"/>
    <mergeCell ref="C28:F28"/>
    <mergeCell ref="C59:F59"/>
    <mergeCell ref="C60:F60"/>
    <mergeCell ref="C84:F84"/>
    <mergeCell ref="C70:F70"/>
    <mergeCell ref="C73:F73"/>
    <mergeCell ref="C77:F77"/>
    <mergeCell ref="C80:F80"/>
    <mergeCell ref="C71:F71"/>
    <mergeCell ref="C66:F66"/>
    <mergeCell ref="C74:F74"/>
    <mergeCell ref="C82:F82"/>
    <mergeCell ref="C72:F72"/>
    <mergeCell ref="C67:F67"/>
    <mergeCell ref="C81:F81"/>
    <mergeCell ref="C65:F65"/>
    <mergeCell ref="C69:F69"/>
    <mergeCell ref="C86:F86"/>
    <mergeCell ref="C87:F87"/>
    <mergeCell ref="C83:F83"/>
    <mergeCell ref="C76:F76"/>
    <mergeCell ref="C78:F78"/>
    <mergeCell ref="C79:F79"/>
    <mergeCell ref="C89:F89"/>
    <mergeCell ref="C88:F88"/>
    <mergeCell ref="C68:F68"/>
    <mergeCell ref="C75:F75"/>
    <mergeCell ref="C85:F85"/>
    <mergeCell ref="B1:C1"/>
    <mergeCell ref="D1:F1"/>
    <mergeCell ref="B125:F125"/>
    <mergeCell ref="G8:I8"/>
    <mergeCell ref="B118:F118"/>
    <mergeCell ref="B119:F119"/>
    <mergeCell ref="B120:F120"/>
    <mergeCell ref="C25:F25"/>
    <mergeCell ref="C26:F26"/>
    <mergeCell ref="C111:F111"/>
    <mergeCell ref="B113:F113"/>
    <mergeCell ref="B114:I114"/>
    <mergeCell ref="B115:I115"/>
    <mergeCell ref="C116:F116"/>
    <mergeCell ref="C117:F117"/>
    <mergeCell ref="C100:F100"/>
    <mergeCell ref="C101:F101"/>
    <mergeCell ref="C102:F102"/>
    <mergeCell ref="C64:F64"/>
    <mergeCell ref="B121:F121"/>
    <mergeCell ref="B56:I56"/>
    <mergeCell ref="B57:I57"/>
    <mergeCell ref="C58:F58"/>
    <mergeCell ref="C61:F61"/>
  </mergeCells>
  <pageMargins left="0.25" right="0.25" top="0.75" bottom="0.75" header="0.3" footer="0.3"/>
  <pageSetup paperSize="9" scale="57" fitToHeight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FF00"/>
  </sheetPr>
  <dimension ref="A1:H246"/>
  <sheetViews>
    <sheetView topLeftCell="A180" zoomScale="85" zoomScaleNormal="85" workbookViewId="0">
      <selection activeCell="R6" sqref="R6"/>
    </sheetView>
  </sheetViews>
  <sheetFormatPr defaultColWidth="9.140625" defaultRowHeight="12.75" customHeight="1" x14ac:dyDescent="0.2"/>
  <cols>
    <col min="1" max="1" width="6.5703125" style="257" customWidth="1"/>
    <col min="2" max="2" width="7.7109375" style="226" customWidth="1"/>
    <col min="3" max="3" width="35.5703125" style="222" customWidth="1"/>
    <col min="4" max="4" width="9.140625" style="222"/>
    <col min="5" max="5" width="9.140625" style="226"/>
    <col min="6" max="6" width="12.85546875" style="289" customWidth="1"/>
    <col min="7" max="7" width="46.5703125" style="257" customWidth="1"/>
    <col min="8" max="16384" width="9.140625" style="222"/>
  </cols>
  <sheetData>
    <row r="1" spans="1:7" ht="30" customHeight="1" x14ac:dyDescent="0.3">
      <c r="A1" s="264" t="s">
        <v>595</v>
      </c>
      <c r="B1" s="221" t="s">
        <v>596</v>
      </c>
      <c r="C1" s="221" t="s">
        <v>746</v>
      </c>
      <c r="D1" s="221" t="s">
        <v>596</v>
      </c>
      <c r="E1" s="221" t="s">
        <v>747</v>
      </c>
      <c r="F1" s="276" t="s">
        <v>748</v>
      </c>
      <c r="G1" s="264" t="s">
        <v>956</v>
      </c>
    </row>
    <row r="2" spans="1:7" s="224" customFormat="1" ht="12.75" customHeight="1" x14ac:dyDescent="0.3">
      <c r="A2" s="234"/>
      <c r="B2" s="223"/>
      <c r="C2" s="223"/>
      <c r="D2" s="223"/>
      <c r="E2" s="223"/>
      <c r="F2" s="277"/>
      <c r="G2" s="234"/>
    </row>
    <row r="3" spans="1:7" ht="12.75" customHeight="1" x14ac:dyDescent="0.3">
      <c r="A3" s="243" t="s">
        <v>745</v>
      </c>
      <c r="B3" s="259"/>
      <c r="C3" s="244"/>
      <c r="D3" s="245"/>
      <c r="E3" s="290"/>
      <c r="F3" s="278"/>
      <c r="G3" s="245"/>
    </row>
    <row r="4" spans="1:7" ht="12.75" customHeight="1" x14ac:dyDescent="0.3">
      <c r="A4" s="228"/>
      <c r="B4" s="228"/>
      <c r="C4" s="227" t="s">
        <v>749</v>
      </c>
      <c r="D4" s="229"/>
      <c r="E4" s="228" t="s">
        <v>1</v>
      </c>
      <c r="F4" s="279">
        <v>300</v>
      </c>
      <c r="G4" s="265" t="s">
        <v>750</v>
      </c>
    </row>
    <row r="5" spans="1:7" ht="12.75" customHeight="1" x14ac:dyDescent="0.3">
      <c r="A5" s="228"/>
      <c r="B5" s="228"/>
      <c r="C5" s="227" t="s">
        <v>751</v>
      </c>
      <c r="D5" s="229"/>
      <c r="E5" s="228" t="s">
        <v>1</v>
      </c>
      <c r="F5" s="279">
        <v>60</v>
      </c>
      <c r="G5" s="265" t="s">
        <v>752</v>
      </c>
    </row>
    <row r="6" spans="1:7" ht="12.75" customHeight="1" x14ac:dyDescent="0.3">
      <c r="A6" s="228"/>
      <c r="B6" s="228"/>
      <c r="C6" s="227" t="s">
        <v>753</v>
      </c>
      <c r="D6" s="229"/>
      <c r="E6" s="228" t="s">
        <v>2</v>
      </c>
      <c r="F6" s="279">
        <v>8</v>
      </c>
      <c r="G6" s="265" t="s">
        <v>754</v>
      </c>
    </row>
    <row r="7" spans="1:7" ht="12.75" customHeight="1" x14ac:dyDescent="0.3">
      <c r="A7" s="228"/>
      <c r="B7" s="228"/>
      <c r="C7" s="227" t="s">
        <v>755</v>
      </c>
      <c r="D7" s="229"/>
      <c r="E7" s="228" t="s">
        <v>1</v>
      </c>
      <c r="F7" s="279">
        <v>200</v>
      </c>
      <c r="G7" s="265"/>
    </row>
    <row r="8" spans="1:7" ht="12.75" customHeight="1" x14ac:dyDescent="0.3">
      <c r="A8" s="228"/>
      <c r="B8" s="225"/>
      <c r="C8" s="225"/>
      <c r="D8" s="225"/>
      <c r="E8" s="225"/>
      <c r="F8" s="280"/>
      <c r="G8" s="228"/>
    </row>
    <row r="9" spans="1:7" ht="12.75" customHeight="1" x14ac:dyDescent="0.3">
      <c r="A9" s="243" t="s">
        <v>954</v>
      </c>
      <c r="B9" s="259"/>
      <c r="C9" s="246"/>
      <c r="D9" s="245"/>
      <c r="E9" s="290"/>
      <c r="F9" s="278"/>
      <c r="G9" s="245"/>
    </row>
    <row r="10" spans="1:7" ht="12.75" customHeight="1" x14ac:dyDescent="0.3">
      <c r="A10" s="228"/>
      <c r="B10" s="228"/>
      <c r="C10" s="227" t="s">
        <v>756</v>
      </c>
      <c r="D10" s="229"/>
      <c r="E10" s="228" t="s">
        <v>2</v>
      </c>
      <c r="F10" s="279">
        <v>205</v>
      </c>
      <c r="G10" s="265" t="s">
        <v>757</v>
      </c>
    </row>
    <row r="11" spans="1:7" ht="12.75" customHeight="1" x14ac:dyDescent="0.3">
      <c r="A11" s="228"/>
      <c r="B11" s="228"/>
      <c r="C11" s="227" t="s">
        <v>758</v>
      </c>
      <c r="D11" s="229"/>
      <c r="E11" s="228" t="s">
        <v>2</v>
      </c>
      <c r="F11" s="279">
        <v>205</v>
      </c>
      <c r="G11" s="265" t="s">
        <v>757</v>
      </c>
    </row>
    <row r="12" spans="1:7" ht="12.75" customHeight="1" x14ac:dyDescent="0.3">
      <c r="A12" s="228"/>
      <c r="B12" s="228"/>
      <c r="C12" s="227" t="s">
        <v>759</v>
      </c>
      <c r="D12" s="229"/>
      <c r="E12" s="228" t="s">
        <v>1</v>
      </c>
      <c r="F12" s="279">
        <v>800</v>
      </c>
      <c r="G12" s="265"/>
    </row>
    <row r="13" spans="1:7" ht="12.75" customHeight="1" x14ac:dyDescent="0.3">
      <c r="A13" s="228"/>
      <c r="B13" s="228"/>
      <c r="C13" s="227" t="s">
        <v>910</v>
      </c>
      <c r="D13" s="229"/>
      <c r="E13" s="228" t="s">
        <v>1</v>
      </c>
      <c r="F13" s="279">
        <v>4650</v>
      </c>
      <c r="G13" s="265"/>
    </row>
    <row r="14" spans="1:7" ht="12.75" customHeight="1" x14ac:dyDescent="0.3">
      <c r="A14" s="226"/>
      <c r="C14" s="226"/>
      <c r="D14" s="226"/>
      <c r="F14" s="281"/>
      <c r="G14" s="226"/>
    </row>
    <row r="15" spans="1:7" ht="12.75" customHeight="1" x14ac:dyDescent="0.3">
      <c r="A15" s="243" t="s">
        <v>995</v>
      </c>
      <c r="B15" s="259"/>
      <c r="C15" s="246"/>
      <c r="D15" s="245"/>
      <c r="E15" s="290"/>
      <c r="F15" s="278"/>
      <c r="G15" s="245"/>
    </row>
    <row r="16" spans="1:7" ht="12.75" customHeight="1" x14ac:dyDescent="0.3">
      <c r="A16" s="234"/>
      <c r="B16" s="234"/>
      <c r="C16" s="233" t="s">
        <v>761</v>
      </c>
      <c r="D16" s="232"/>
      <c r="E16" s="234" t="s">
        <v>2</v>
      </c>
      <c r="F16" s="282">
        <v>86</v>
      </c>
      <c r="G16" s="266" t="s">
        <v>762</v>
      </c>
    </row>
    <row r="17" spans="1:7" ht="12.75" customHeight="1" x14ac:dyDescent="0.3">
      <c r="A17" s="234"/>
      <c r="B17" s="234"/>
      <c r="C17" s="233" t="s">
        <v>763</v>
      </c>
      <c r="D17" s="232"/>
      <c r="E17" s="234" t="s">
        <v>2</v>
      </c>
      <c r="F17" s="282">
        <v>25</v>
      </c>
      <c r="G17" s="266" t="s">
        <v>764</v>
      </c>
    </row>
    <row r="18" spans="1:7" ht="12.75" customHeight="1" x14ac:dyDescent="0.3">
      <c r="A18" s="234"/>
      <c r="B18" s="234"/>
      <c r="C18" s="233" t="s">
        <v>765</v>
      </c>
      <c r="D18" s="232"/>
      <c r="E18" s="234" t="s">
        <v>1</v>
      </c>
      <c r="F18" s="282">
        <v>925</v>
      </c>
      <c r="G18" s="266" t="s">
        <v>766</v>
      </c>
    </row>
    <row r="19" spans="1:7" ht="12.75" customHeight="1" x14ac:dyDescent="0.3">
      <c r="A19" s="234"/>
      <c r="B19" s="234"/>
      <c r="C19" s="233" t="s">
        <v>767</v>
      </c>
      <c r="D19" s="232"/>
      <c r="E19" s="234" t="s">
        <v>1</v>
      </c>
      <c r="F19" s="282">
        <v>150</v>
      </c>
      <c r="G19" s="266" t="s">
        <v>768</v>
      </c>
    </row>
    <row r="20" spans="1:7" ht="12.75" customHeight="1" x14ac:dyDescent="0.3">
      <c r="A20" s="234"/>
      <c r="B20" s="234"/>
      <c r="C20" s="233" t="s">
        <v>911</v>
      </c>
      <c r="D20" s="232"/>
      <c r="E20" s="234" t="s">
        <v>1</v>
      </c>
      <c r="F20" s="282">
        <v>129</v>
      </c>
      <c r="G20" s="266" t="s">
        <v>769</v>
      </c>
    </row>
    <row r="21" spans="1:7" ht="12.75" customHeight="1" x14ac:dyDescent="0.3">
      <c r="A21" s="235"/>
      <c r="B21" s="235"/>
      <c r="C21" s="235"/>
      <c r="D21" s="235"/>
      <c r="E21" s="235"/>
      <c r="F21" s="283"/>
      <c r="G21" s="235"/>
    </row>
    <row r="22" spans="1:7" ht="12.75" customHeight="1" x14ac:dyDescent="0.3">
      <c r="A22" s="243" t="s">
        <v>996</v>
      </c>
      <c r="B22" s="259"/>
      <c r="C22" s="246"/>
      <c r="D22" s="245"/>
      <c r="E22" s="290"/>
      <c r="F22" s="278"/>
      <c r="G22" s="245"/>
    </row>
    <row r="23" spans="1:7" ht="12.75" customHeight="1" x14ac:dyDescent="0.3">
      <c r="A23" s="234"/>
      <c r="B23" s="234"/>
      <c r="C23" s="233" t="s">
        <v>770</v>
      </c>
      <c r="D23" s="232"/>
      <c r="E23" s="234" t="s">
        <v>2</v>
      </c>
      <c r="F23" s="282">
        <v>111</v>
      </c>
      <c r="G23" s="266" t="s">
        <v>762</v>
      </c>
    </row>
    <row r="24" spans="1:7" ht="12.75" customHeight="1" x14ac:dyDescent="0.3">
      <c r="A24" s="234"/>
      <c r="B24" s="234"/>
      <c r="C24" s="233" t="s">
        <v>771</v>
      </c>
      <c r="D24" s="232"/>
      <c r="E24" s="234" t="s">
        <v>2</v>
      </c>
      <c r="F24" s="282">
        <v>23</v>
      </c>
      <c r="G24" s="266" t="s">
        <v>772</v>
      </c>
    </row>
    <row r="25" spans="1:7" ht="12.75" customHeight="1" x14ac:dyDescent="0.3">
      <c r="A25" s="234"/>
      <c r="B25" s="234"/>
      <c r="C25" s="233" t="s">
        <v>773</v>
      </c>
      <c r="D25" s="232"/>
      <c r="E25" s="234" t="s">
        <v>1</v>
      </c>
      <c r="F25" s="282">
        <v>1050</v>
      </c>
      <c r="G25" s="266" t="s">
        <v>774</v>
      </c>
    </row>
    <row r="26" spans="1:7" ht="12.75" customHeight="1" x14ac:dyDescent="0.3">
      <c r="A26" s="234"/>
      <c r="B26" s="234"/>
      <c r="C26" s="233" t="s">
        <v>775</v>
      </c>
      <c r="D26" s="232"/>
      <c r="E26" s="234" t="s">
        <v>1</v>
      </c>
      <c r="F26" s="282">
        <v>7900</v>
      </c>
      <c r="G26" s="266" t="s">
        <v>776</v>
      </c>
    </row>
    <row r="27" spans="1:7" ht="12.75" customHeight="1" x14ac:dyDescent="0.3">
      <c r="A27" s="235"/>
      <c r="B27" s="235"/>
      <c r="C27" s="235"/>
      <c r="D27" s="235"/>
      <c r="E27" s="235"/>
      <c r="F27" s="283"/>
      <c r="G27" s="235"/>
    </row>
    <row r="28" spans="1:7" ht="12.75" customHeight="1" x14ac:dyDescent="0.3">
      <c r="A28" s="243" t="s">
        <v>777</v>
      </c>
      <c r="B28" s="259"/>
      <c r="C28" s="246"/>
      <c r="D28" s="245"/>
      <c r="E28" s="290"/>
      <c r="F28" s="278"/>
      <c r="G28" s="245"/>
    </row>
    <row r="29" spans="1:7" ht="12.75" customHeight="1" x14ac:dyDescent="0.3">
      <c r="A29" s="234"/>
      <c r="B29" s="234"/>
      <c r="C29" s="233" t="s">
        <v>778</v>
      </c>
      <c r="D29" s="232"/>
      <c r="E29" s="234" t="s">
        <v>4</v>
      </c>
      <c r="F29" s="282">
        <v>255</v>
      </c>
      <c r="G29" s="266" t="s">
        <v>779</v>
      </c>
    </row>
    <row r="30" spans="1:7" ht="12.75" customHeight="1" x14ac:dyDescent="0.3">
      <c r="A30" s="234"/>
      <c r="B30" s="234"/>
      <c r="C30" s="233" t="s">
        <v>780</v>
      </c>
      <c r="D30" s="232"/>
      <c r="E30" s="234" t="s">
        <v>2</v>
      </c>
      <c r="F30" s="282">
        <v>18</v>
      </c>
      <c r="G30" s="266" t="s">
        <v>781</v>
      </c>
    </row>
    <row r="31" spans="1:7" ht="12.75" customHeight="1" x14ac:dyDescent="0.3">
      <c r="A31" s="234"/>
      <c r="B31" s="234"/>
      <c r="C31" s="233" t="s">
        <v>782</v>
      </c>
      <c r="D31" s="232"/>
      <c r="E31" s="234" t="s">
        <v>3</v>
      </c>
      <c r="F31" s="282">
        <v>19</v>
      </c>
      <c r="G31" s="266" t="s">
        <v>783</v>
      </c>
    </row>
    <row r="32" spans="1:7" ht="12.75" customHeight="1" x14ac:dyDescent="0.3">
      <c r="A32" s="234"/>
      <c r="B32" s="234"/>
      <c r="C32" s="233" t="s">
        <v>784</v>
      </c>
      <c r="D32" s="232"/>
      <c r="E32" s="234" t="s">
        <v>3</v>
      </c>
      <c r="F32" s="282">
        <v>19</v>
      </c>
      <c r="G32" s="266" t="s">
        <v>785</v>
      </c>
    </row>
    <row r="33" spans="1:8" ht="12.75" customHeight="1" x14ac:dyDescent="0.3">
      <c r="A33" s="234"/>
      <c r="B33" s="234"/>
      <c r="C33" s="233" t="s">
        <v>786</v>
      </c>
      <c r="D33" s="232"/>
      <c r="E33" s="234" t="s">
        <v>3</v>
      </c>
      <c r="F33" s="282">
        <v>392</v>
      </c>
      <c r="G33" s="266" t="s">
        <v>787</v>
      </c>
    </row>
    <row r="34" spans="1:8" ht="12.75" customHeight="1" x14ac:dyDescent="0.3">
      <c r="A34" s="234"/>
      <c r="B34" s="234"/>
      <c r="C34" s="233" t="s">
        <v>788</v>
      </c>
      <c r="D34" s="232"/>
      <c r="E34" s="234" t="s">
        <v>3</v>
      </c>
      <c r="F34" s="282">
        <v>41</v>
      </c>
      <c r="G34" s="266" t="s">
        <v>789</v>
      </c>
    </row>
    <row r="35" spans="1:8" ht="12.75" customHeight="1" x14ac:dyDescent="0.3">
      <c r="A35" s="234"/>
      <c r="B35" s="234"/>
      <c r="C35" s="233" t="s">
        <v>790</v>
      </c>
      <c r="D35" s="232"/>
      <c r="E35" s="234" t="s">
        <v>3</v>
      </c>
      <c r="F35" s="282">
        <v>88</v>
      </c>
      <c r="G35" s="266" t="s">
        <v>791</v>
      </c>
    </row>
    <row r="36" spans="1:8" ht="12.75" customHeight="1" x14ac:dyDescent="0.3">
      <c r="A36" s="234"/>
      <c r="B36" s="234"/>
      <c r="C36" s="233" t="s">
        <v>792</v>
      </c>
      <c r="D36" s="232"/>
      <c r="E36" s="234" t="s">
        <v>3</v>
      </c>
      <c r="F36" s="282">
        <v>45</v>
      </c>
      <c r="G36" s="266" t="s">
        <v>793</v>
      </c>
    </row>
    <row r="37" spans="1:8" ht="12.75" customHeight="1" x14ac:dyDescent="0.3">
      <c r="A37" s="234"/>
      <c r="B37" s="234"/>
      <c r="C37" s="233" t="s">
        <v>794</v>
      </c>
      <c r="D37" s="232"/>
      <c r="E37" s="234" t="s">
        <v>3</v>
      </c>
      <c r="F37" s="282">
        <v>2</v>
      </c>
      <c r="G37" s="266"/>
    </row>
    <row r="38" spans="1:8" ht="12.75" customHeight="1" x14ac:dyDescent="0.3">
      <c r="A38" s="234"/>
      <c r="B38" s="234"/>
      <c r="C38" s="233" t="s">
        <v>795</v>
      </c>
      <c r="D38" s="232"/>
      <c r="E38" s="234" t="s">
        <v>4</v>
      </c>
      <c r="F38" s="282">
        <v>11</v>
      </c>
      <c r="G38" s="266" t="s">
        <v>796</v>
      </c>
    </row>
    <row r="39" spans="1:8" ht="12.75" customHeight="1" x14ac:dyDescent="0.3">
      <c r="A39" s="234"/>
      <c r="B39" s="234"/>
      <c r="C39" s="233" t="s">
        <v>797</v>
      </c>
      <c r="D39" s="232"/>
      <c r="E39" s="234" t="s">
        <v>8</v>
      </c>
      <c r="F39" s="282">
        <v>58</v>
      </c>
      <c r="G39" s="266" t="s">
        <v>798</v>
      </c>
    </row>
    <row r="40" spans="1:8" ht="12.75" customHeight="1" x14ac:dyDescent="0.3">
      <c r="A40" s="234"/>
      <c r="B40" s="234"/>
      <c r="C40" s="233" t="s">
        <v>799</v>
      </c>
      <c r="D40" s="232"/>
      <c r="E40" s="234" t="s">
        <v>4</v>
      </c>
      <c r="F40" s="282">
        <v>48</v>
      </c>
      <c r="G40" s="266" t="s">
        <v>800</v>
      </c>
    </row>
    <row r="41" spans="1:8" ht="12.75" customHeight="1" x14ac:dyDescent="0.3">
      <c r="A41" s="235"/>
      <c r="B41" s="235"/>
      <c r="C41" s="235"/>
      <c r="D41" s="235"/>
      <c r="E41" s="235"/>
      <c r="F41" s="283"/>
      <c r="G41" s="235"/>
    </row>
    <row r="42" spans="1:8" ht="12.75" customHeight="1" x14ac:dyDescent="0.3">
      <c r="A42" s="243" t="s">
        <v>801</v>
      </c>
      <c r="B42" s="259"/>
      <c r="C42" s="246"/>
      <c r="D42" s="245"/>
      <c r="E42" s="290"/>
      <c r="F42" s="278"/>
      <c r="G42" s="245"/>
    </row>
    <row r="43" spans="1:8" ht="12.75" customHeight="1" x14ac:dyDescent="0.3">
      <c r="A43" s="271" t="s">
        <v>967</v>
      </c>
      <c r="B43" s="269"/>
      <c r="C43" s="242"/>
      <c r="D43" s="241"/>
      <c r="E43" s="291"/>
      <c r="F43" s="284"/>
      <c r="G43" s="241"/>
    </row>
    <row r="44" spans="1:8" ht="12.75" customHeight="1" x14ac:dyDescent="0.3">
      <c r="A44" s="234"/>
      <c r="B44" s="234"/>
      <c r="C44" s="233" t="s">
        <v>802</v>
      </c>
      <c r="D44" s="232"/>
      <c r="E44" s="234" t="s">
        <v>3</v>
      </c>
      <c r="F44" s="282">
        <v>576</v>
      </c>
      <c r="G44" s="266" t="s">
        <v>803</v>
      </c>
      <c r="H44" s="266"/>
    </row>
    <row r="45" spans="1:8" ht="12.75" customHeight="1" x14ac:dyDescent="0.3">
      <c r="A45" s="234"/>
      <c r="B45" s="234"/>
      <c r="C45" s="233" t="s">
        <v>804</v>
      </c>
      <c r="D45" s="232"/>
      <c r="E45" s="234" t="s">
        <v>3</v>
      </c>
      <c r="F45" s="282">
        <v>677</v>
      </c>
      <c r="G45" s="266" t="s">
        <v>805</v>
      </c>
      <c r="H45" s="266"/>
    </row>
    <row r="46" spans="1:8" ht="12.75" customHeight="1" x14ac:dyDescent="0.3">
      <c r="A46" s="234"/>
      <c r="B46" s="234"/>
      <c r="C46" s="233" t="s">
        <v>806</v>
      </c>
      <c r="D46" s="232"/>
      <c r="E46" s="234" t="s">
        <v>3</v>
      </c>
      <c r="F46" s="282">
        <v>386</v>
      </c>
      <c r="G46" s="266" t="s">
        <v>807</v>
      </c>
      <c r="H46" s="266"/>
    </row>
    <row r="47" spans="1:8" ht="12.75" customHeight="1" x14ac:dyDescent="0.3">
      <c r="A47" s="234"/>
      <c r="B47" s="234"/>
      <c r="C47" s="233" t="s">
        <v>808</v>
      </c>
      <c r="D47" s="232"/>
      <c r="E47" s="234" t="s">
        <v>2</v>
      </c>
      <c r="F47" s="282">
        <v>205</v>
      </c>
      <c r="G47" s="266" t="s">
        <v>809</v>
      </c>
      <c r="H47" s="266"/>
    </row>
    <row r="48" spans="1:8" ht="12.75" customHeight="1" x14ac:dyDescent="0.3">
      <c r="A48" s="234"/>
      <c r="B48" s="234"/>
      <c r="C48" s="233" t="s">
        <v>810</v>
      </c>
      <c r="D48" s="232"/>
      <c r="E48" s="234" t="s">
        <v>3</v>
      </c>
      <c r="F48" s="282">
        <v>636</v>
      </c>
      <c r="G48" s="266" t="s">
        <v>811</v>
      </c>
      <c r="H48" s="266"/>
    </row>
    <row r="49" spans="1:8" ht="12.75" customHeight="1" x14ac:dyDescent="0.3">
      <c r="A49" s="234"/>
      <c r="B49" s="234"/>
      <c r="C49" s="233" t="s">
        <v>812</v>
      </c>
      <c r="D49" s="232"/>
      <c r="E49" s="234" t="s">
        <v>1</v>
      </c>
      <c r="F49" s="282">
        <v>9600</v>
      </c>
      <c r="G49" s="266" t="s">
        <v>813</v>
      </c>
      <c r="H49" s="266"/>
    </row>
    <row r="50" spans="1:8" ht="12.75" customHeight="1" x14ac:dyDescent="0.3">
      <c r="A50" s="273" t="s">
        <v>983</v>
      </c>
      <c r="B50" s="234"/>
      <c r="D50" s="232"/>
      <c r="E50" s="234"/>
      <c r="F50" s="282"/>
      <c r="G50" s="266"/>
      <c r="H50" s="266"/>
    </row>
    <row r="51" spans="1:8" ht="12.75" customHeight="1" x14ac:dyDescent="0.3">
      <c r="A51" s="234"/>
      <c r="B51" s="234"/>
      <c r="C51" s="274" t="s">
        <v>982</v>
      </c>
      <c r="D51" s="232"/>
      <c r="E51" s="234" t="s">
        <v>3</v>
      </c>
      <c r="F51" s="282">
        <v>43.905000000000001</v>
      </c>
      <c r="G51" s="222"/>
      <c r="H51" s="266" t="s">
        <v>975</v>
      </c>
    </row>
    <row r="52" spans="1:8" ht="12.75" customHeight="1" x14ac:dyDescent="0.3">
      <c r="A52" s="234"/>
      <c r="B52" s="234"/>
      <c r="C52" s="274" t="s">
        <v>970</v>
      </c>
      <c r="D52" s="232"/>
      <c r="E52" s="234" t="s">
        <v>3</v>
      </c>
      <c r="F52" s="282">
        <v>87.808750000000003</v>
      </c>
      <c r="G52" s="222"/>
      <c r="H52" s="266" t="s">
        <v>975</v>
      </c>
    </row>
    <row r="53" spans="1:8" ht="12.75" customHeight="1" x14ac:dyDescent="0.3">
      <c r="A53" s="234"/>
      <c r="B53" s="234"/>
      <c r="C53" s="274" t="s">
        <v>971</v>
      </c>
      <c r="D53" s="232"/>
      <c r="E53" s="234" t="s">
        <v>3</v>
      </c>
      <c r="F53" s="282">
        <v>4.7249999999999996</v>
      </c>
      <c r="G53" s="222"/>
      <c r="H53" s="266" t="s">
        <v>975</v>
      </c>
    </row>
    <row r="54" spans="1:8" ht="12.75" customHeight="1" x14ac:dyDescent="0.3">
      <c r="A54" s="234"/>
      <c r="B54" s="234"/>
      <c r="C54" s="274" t="s">
        <v>972</v>
      </c>
      <c r="D54" s="232"/>
      <c r="E54" s="234" t="s">
        <v>3</v>
      </c>
      <c r="F54" s="282">
        <v>1.3387500000000001</v>
      </c>
      <c r="G54" s="222"/>
      <c r="H54" s="266" t="s">
        <v>975</v>
      </c>
    </row>
    <row r="55" spans="1:8" ht="12.75" customHeight="1" x14ac:dyDescent="0.3">
      <c r="A55" s="234"/>
      <c r="B55" s="234"/>
      <c r="C55" s="274" t="s">
        <v>973</v>
      </c>
      <c r="D55" s="232"/>
      <c r="E55" s="234" t="s">
        <v>3</v>
      </c>
      <c r="F55" s="282">
        <v>53.4925</v>
      </c>
      <c r="G55" s="222"/>
      <c r="H55" s="266" t="s">
        <v>975</v>
      </c>
    </row>
    <row r="56" spans="1:8" ht="12.75" customHeight="1" x14ac:dyDescent="0.3">
      <c r="A56" s="234"/>
      <c r="B56" s="234"/>
      <c r="C56" s="275" t="s">
        <v>981</v>
      </c>
      <c r="D56" s="232"/>
      <c r="E56" s="234" t="s">
        <v>3</v>
      </c>
      <c r="F56" s="282">
        <v>2.25</v>
      </c>
      <c r="G56" s="222"/>
      <c r="H56" s="266" t="s">
        <v>975</v>
      </c>
    </row>
    <row r="57" spans="1:8" ht="12.75" customHeight="1" x14ac:dyDescent="0.3">
      <c r="A57" s="234"/>
      <c r="B57" s="234"/>
      <c r="C57" s="275" t="s">
        <v>974</v>
      </c>
      <c r="D57" s="232"/>
      <c r="E57" s="234" t="s">
        <v>3</v>
      </c>
      <c r="F57" s="282">
        <v>26.875</v>
      </c>
      <c r="G57" s="222"/>
      <c r="H57" s="266" t="s">
        <v>975</v>
      </c>
    </row>
    <row r="58" spans="1:8" ht="12.75" customHeight="1" x14ac:dyDescent="0.3">
      <c r="A58" s="234"/>
      <c r="B58" s="234"/>
      <c r="C58" s="275" t="s">
        <v>980</v>
      </c>
      <c r="D58" s="232"/>
      <c r="E58" s="234" t="s">
        <v>3</v>
      </c>
      <c r="F58" s="282">
        <v>7.06</v>
      </c>
      <c r="G58" s="266"/>
      <c r="H58" s="266" t="s">
        <v>975</v>
      </c>
    </row>
    <row r="59" spans="1:8" ht="12.75" customHeight="1" x14ac:dyDescent="0.3">
      <c r="A59" s="234"/>
      <c r="B59" s="234"/>
      <c r="C59" s="275" t="s">
        <v>976</v>
      </c>
      <c r="D59" s="232"/>
      <c r="E59" s="234" t="s">
        <v>3</v>
      </c>
      <c r="F59" s="282">
        <v>10.59</v>
      </c>
      <c r="G59" s="266"/>
      <c r="H59" s="266" t="s">
        <v>975</v>
      </c>
    </row>
    <row r="60" spans="1:8" ht="12.75" customHeight="1" x14ac:dyDescent="0.3">
      <c r="A60" s="234"/>
      <c r="B60" s="234"/>
      <c r="C60" s="275" t="s">
        <v>977</v>
      </c>
      <c r="D60" s="232"/>
      <c r="E60" s="234" t="s">
        <v>3</v>
      </c>
      <c r="F60" s="282">
        <v>7.9424999999999999</v>
      </c>
      <c r="G60" s="266"/>
      <c r="H60" s="266" t="s">
        <v>975</v>
      </c>
    </row>
    <row r="61" spans="1:8" ht="12.75" customHeight="1" x14ac:dyDescent="0.3">
      <c r="A61" s="273" t="s">
        <v>984</v>
      </c>
      <c r="B61" s="234"/>
      <c r="C61" s="275"/>
      <c r="D61" s="232"/>
      <c r="E61" s="234"/>
      <c r="F61" s="282"/>
      <c r="G61" s="266"/>
      <c r="H61" s="266"/>
    </row>
    <row r="62" spans="1:8" ht="12.75" customHeight="1" x14ac:dyDescent="0.3">
      <c r="A62" s="234"/>
      <c r="B62" s="234"/>
      <c r="C62" s="274" t="s">
        <v>978</v>
      </c>
      <c r="D62" s="232"/>
      <c r="E62" s="234" t="s">
        <v>3</v>
      </c>
      <c r="F62" s="282">
        <v>0.82566375000000003</v>
      </c>
      <c r="G62" s="266"/>
      <c r="H62" s="266" t="s">
        <v>993</v>
      </c>
    </row>
    <row r="63" spans="1:8" ht="12.75" customHeight="1" x14ac:dyDescent="0.3">
      <c r="A63" s="234"/>
      <c r="B63" s="234"/>
      <c r="C63" s="274" t="s">
        <v>979</v>
      </c>
      <c r="D63" s="232"/>
      <c r="E63" s="234" t="s">
        <v>3</v>
      </c>
      <c r="F63" s="282">
        <v>12.52295625</v>
      </c>
      <c r="G63" s="266"/>
      <c r="H63" s="266" t="s">
        <v>993</v>
      </c>
    </row>
    <row r="64" spans="1:8" ht="12.75" customHeight="1" x14ac:dyDescent="0.3">
      <c r="A64" s="234"/>
      <c r="B64" s="234"/>
      <c r="C64" s="274" t="s">
        <v>985</v>
      </c>
      <c r="D64" s="232"/>
      <c r="E64" s="234" t="s">
        <v>3</v>
      </c>
      <c r="F64" s="282">
        <v>1.3074357526122564</v>
      </c>
      <c r="G64" s="266"/>
      <c r="H64" s="266" t="s">
        <v>988</v>
      </c>
    </row>
    <row r="65" spans="1:8" ht="12.75" customHeight="1" x14ac:dyDescent="0.3">
      <c r="A65" s="234"/>
      <c r="B65" s="234"/>
      <c r="C65" s="274" t="s">
        <v>986</v>
      </c>
      <c r="D65" s="232"/>
      <c r="E65" s="234" t="s">
        <v>3</v>
      </c>
      <c r="F65" s="282">
        <v>40.319080768144588</v>
      </c>
      <c r="G65" s="266"/>
      <c r="H65" s="266" t="s">
        <v>988</v>
      </c>
    </row>
    <row r="66" spans="1:8" ht="12.75" customHeight="1" x14ac:dyDescent="0.3">
      <c r="A66" s="230" t="s">
        <v>989</v>
      </c>
      <c r="B66" s="234"/>
      <c r="C66" s="274"/>
      <c r="D66" s="232"/>
      <c r="E66" s="234"/>
      <c r="F66" s="282"/>
      <c r="G66" s="266"/>
      <c r="H66" s="266"/>
    </row>
    <row r="67" spans="1:8" ht="12.75" customHeight="1" x14ac:dyDescent="0.3">
      <c r="A67" s="234"/>
      <c r="B67" s="234"/>
      <c r="C67" s="274" t="s">
        <v>987</v>
      </c>
      <c r="D67" s="232"/>
      <c r="E67" s="234" t="s">
        <v>3</v>
      </c>
      <c r="F67" s="282">
        <v>7.303414289748658</v>
      </c>
      <c r="G67" s="266"/>
      <c r="H67" s="266" t="s">
        <v>988</v>
      </c>
    </row>
    <row r="68" spans="1:8" ht="12.75" customHeight="1" x14ac:dyDescent="0.3">
      <c r="A68" s="234"/>
      <c r="B68" s="234"/>
      <c r="C68" s="274" t="s">
        <v>994</v>
      </c>
      <c r="D68" s="232"/>
      <c r="E68" s="234" t="s">
        <v>3</v>
      </c>
      <c r="F68" s="282">
        <v>54.487250000000003</v>
      </c>
      <c r="G68" s="266"/>
      <c r="H68" s="266" t="s">
        <v>993</v>
      </c>
    </row>
    <row r="69" spans="1:8" ht="12.75" customHeight="1" x14ac:dyDescent="0.3">
      <c r="A69" s="230" t="s">
        <v>990</v>
      </c>
      <c r="B69" s="234"/>
      <c r="C69" s="274"/>
      <c r="D69" s="232"/>
      <c r="E69" s="234"/>
      <c r="F69" s="282"/>
      <c r="G69" s="266"/>
      <c r="H69" s="266"/>
    </row>
    <row r="70" spans="1:8" ht="12.75" customHeight="1" x14ac:dyDescent="0.3">
      <c r="A70" s="230"/>
      <c r="B70" s="234"/>
      <c r="C70" s="274" t="s">
        <v>991</v>
      </c>
      <c r="D70" s="232"/>
      <c r="E70" s="234" t="s">
        <v>3</v>
      </c>
      <c r="F70" s="282">
        <v>3.1817387500000001</v>
      </c>
      <c r="G70" s="266"/>
      <c r="H70" s="266" t="s">
        <v>993</v>
      </c>
    </row>
    <row r="71" spans="1:8" ht="12.75" customHeight="1" x14ac:dyDescent="0.3">
      <c r="A71" s="230"/>
      <c r="B71" s="234"/>
      <c r="C71" s="274" t="s">
        <v>992</v>
      </c>
      <c r="D71" s="232"/>
      <c r="E71" s="234" t="s">
        <v>3</v>
      </c>
      <c r="F71" s="282">
        <v>68.021588749999992</v>
      </c>
      <c r="G71" s="266"/>
      <c r="H71" s="266" t="s">
        <v>993</v>
      </c>
    </row>
    <row r="72" spans="1:8" ht="12.75" customHeight="1" x14ac:dyDescent="0.3">
      <c r="A72" s="271" t="s">
        <v>968</v>
      </c>
      <c r="B72" s="269"/>
      <c r="C72" s="242"/>
      <c r="D72" s="241"/>
      <c r="E72" s="291"/>
      <c r="F72" s="284"/>
      <c r="G72" s="241"/>
    </row>
    <row r="73" spans="1:8" ht="12.75" customHeight="1" x14ac:dyDescent="0.3">
      <c r="A73" s="272" t="s">
        <v>519</v>
      </c>
      <c r="B73" s="270"/>
      <c r="C73" s="240"/>
      <c r="D73" s="239"/>
      <c r="E73" s="268"/>
      <c r="F73" s="285"/>
      <c r="G73" s="239"/>
    </row>
    <row r="74" spans="1:8" s="263" customFormat="1" ht="12.75" customHeight="1" x14ac:dyDescent="0.3">
      <c r="A74" s="231"/>
      <c r="B74" s="247" t="s">
        <v>597</v>
      </c>
      <c r="C74" s="248" t="s">
        <v>598</v>
      </c>
      <c r="D74" s="247" t="s">
        <v>597</v>
      </c>
      <c r="E74" s="249" t="s">
        <v>4</v>
      </c>
      <c r="F74" s="286">
        <v>55</v>
      </c>
      <c r="G74" s="266"/>
    </row>
    <row r="75" spans="1:8" s="263" customFormat="1" ht="12.75" customHeight="1" x14ac:dyDescent="0.3">
      <c r="A75" s="231"/>
      <c r="B75" s="247" t="s">
        <v>599</v>
      </c>
      <c r="C75" s="248" t="s">
        <v>505</v>
      </c>
      <c r="D75" s="247" t="s">
        <v>599</v>
      </c>
      <c r="E75" s="249" t="s">
        <v>4</v>
      </c>
      <c r="F75" s="286">
        <v>35</v>
      </c>
      <c r="G75" s="266"/>
    </row>
    <row r="76" spans="1:8" s="263" customFormat="1" ht="12.75" customHeight="1" x14ac:dyDescent="0.3">
      <c r="A76" s="231"/>
      <c r="B76" s="247" t="s">
        <v>600</v>
      </c>
      <c r="C76" s="248" t="s">
        <v>601</v>
      </c>
      <c r="D76" s="247" t="s">
        <v>600</v>
      </c>
      <c r="E76" s="249" t="s">
        <v>4</v>
      </c>
      <c r="F76" s="286">
        <v>85</v>
      </c>
      <c r="G76" s="266"/>
    </row>
    <row r="77" spans="1:8" s="263" customFormat="1" ht="12.75" customHeight="1" x14ac:dyDescent="0.3">
      <c r="A77" s="231"/>
      <c r="B77" s="247" t="s">
        <v>602</v>
      </c>
      <c r="C77" s="248" t="s">
        <v>506</v>
      </c>
      <c r="D77" s="247" t="s">
        <v>602</v>
      </c>
      <c r="E77" s="249" t="s">
        <v>4</v>
      </c>
      <c r="F77" s="286">
        <v>250</v>
      </c>
      <c r="G77" s="266"/>
    </row>
    <row r="78" spans="1:8" s="263" customFormat="1" ht="12.75" customHeight="1" x14ac:dyDescent="0.3">
      <c r="A78" s="231"/>
      <c r="B78" s="247" t="s">
        <v>603</v>
      </c>
      <c r="C78" s="248" t="s">
        <v>604</v>
      </c>
      <c r="D78" s="247" t="s">
        <v>603</v>
      </c>
      <c r="E78" s="249" t="s">
        <v>4</v>
      </c>
      <c r="F78" s="286">
        <v>450</v>
      </c>
      <c r="G78" s="266"/>
    </row>
    <row r="79" spans="1:8" s="263" customFormat="1" ht="12.75" customHeight="1" x14ac:dyDescent="0.3">
      <c r="A79" s="231"/>
      <c r="B79" s="247" t="s">
        <v>605</v>
      </c>
      <c r="C79" s="248" t="s">
        <v>606</v>
      </c>
      <c r="D79" s="247" t="s">
        <v>605</v>
      </c>
      <c r="E79" s="249" t="s">
        <v>9</v>
      </c>
      <c r="F79" s="286">
        <v>6</v>
      </c>
      <c r="G79" s="266"/>
    </row>
    <row r="80" spans="1:8" s="263" customFormat="1" ht="12.75" customHeight="1" x14ac:dyDescent="0.3">
      <c r="A80" s="231"/>
      <c r="B80" s="247" t="s">
        <v>607</v>
      </c>
      <c r="C80" s="248" t="s">
        <v>608</v>
      </c>
      <c r="D80" s="247" t="s">
        <v>607</v>
      </c>
      <c r="E80" s="249" t="s">
        <v>3</v>
      </c>
      <c r="F80" s="286">
        <v>37</v>
      </c>
      <c r="G80" s="266"/>
    </row>
    <row r="81" spans="1:7" s="263" customFormat="1" ht="12.75" customHeight="1" x14ac:dyDescent="0.3">
      <c r="A81" s="231"/>
      <c r="B81" s="247" t="s">
        <v>609</v>
      </c>
      <c r="C81" s="248" t="s">
        <v>610</v>
      </c>
      <c r="D81" s="247" t="s">
        <v>609</v>
      </c>
      <c r="E81" s="249" t="s">
        <v>4</v>
      </c>
      <c r="F81" s="286">
        <f>F78</f>
        <v>450</v>
      </c>
      <c r="G81" s="266"/>
    </row>
    <row r="82" spans="1:7" s="263" customFormat="1" ht="12.75" customHeight="1" x14ac:dyDescent="0.3">
      <c r="A82" s="231"/>
      <c r="B82" s="247" t="s">
        <v>611</v>
      </c>
      <c r="C82" s="248" t="s">
        <v>612</v>
      </c>
      <c r="D82" s="247" t="s">
        <v>611</v>
      </c>
      <c r="E82" s="249" t="s">
        <v>9</v>
      </c>
      <c r="F82" s="286">
        <v>8</v>
      </c>
      <c r="G82" s="266"/>
    </row>
    <row r="83" spans="1:7" s="263" customFormat="1" ht="12.75" customHeight="1" x14ac:dyDescent="0.3">
      <c r="A83" s="231"/>
      <c r="B83" s="247" t="s">
        <v>613</v>
      </c>
      <c r="C83" s="248" t="s">
        <v>614</v>
      </c>
      <c r="D83" s="247" t="s">
        <v>613</v>
      </c>
      <c r="E83" s="249" t="s">
        <v>4</v>
      </c>
      <c r="F83" s="286">
        <f>F81</f>
        <v>450</v>
      </c>
      <c r="G83" s="266"/>
    </row>
    <row r="84" spans="1:7" s="263" customFormat="1" ht="12.75" customHeight="1" x14ac:dyDescent="0.3">
      <c r="A84" s="231"/>
      <c r="B84" s="247" t="s">
        <v>615</v>
      </c>
      <c r="C84" s="248" t="s">
        <v>616</v>
      </c>
      <c r="D84" s="247" t="s">
        <v>615</v>
      </c>
      <c r="E84" s="249" t="s">
        <v>9</v>
      </c>
      <c r="F84" s="286">
        <f>F79</f>
        <v>6</v>
      </c>
      <c r="G84" s="266"/>
    </row>
    <row r="85" spans="1:7" s="263" customFormat="1" ht="12.75" customHeight="1" x14ac:dyDescent="0.3">
      <c r="A85" s="231"/>
      <c r="B85" s="247" t="s">
        <v>617</v>
      </c>
      <c r="C85" s="248" t="s">
        <v>618</v>
      </c>
      <c r="D85" s="247" t="s">
        <v>617</v>
      </c>
      <c r="E85" s="249" t="s">
        <v>3</v>
      </c>
      <c r="F85" s="286">
        <f>F80</f>
        <v>37</v>
      </c>
      <c r="G85" s="266"/>
    </row>
    <row r="86" spans="1:7" s="263" customFormat="1" ht="12.75" customHeight="1" x14ac:dyDescent="0.3">
      <c r="A86" s="231"/>
      <c r="B86" s="247" t="s">
        <v>619</v>
      </c>
      <c r="C86" s="248" t="s">
        <v>620</v>
      </c>
      <c r="D86" s="247" t="s">
        <v>619</v>
      </c>
      <c r="E86" s="249" t="s">
        <v>4</v>
      </c>
      <c r="F86" s="286">
        <f>F83</f>
        <v>450</v>
      </c>
      <c r="G86" s="266"/>
    </row>
    <row r="87" spans="1:7" s="263" customFormat="1" ht="12.75" customHeight="1" x14ac:dyDescent="0.3">
      <c r="A87" s="231"/>
      <c r="B87" s="247" t="s">
        <v>621</v>
      </c>
      <c r="C87" s="248" t="s">
        <v>622</v>
      </c>
      <c r="D87" s="247" t="s">
        <v>621</v>
      </c>
      <c r="E87" s="249" t="s">
        <v>9</v>
      </c>
      <c r="F87" s="286">
        <f>F79</f>
        <v>6</v>
      </c>
      <c r="G87" s="266"/>
    </row>
    <row r="88" spans="1:7" s="263" customFormat="1" ht="12.75" customHeight="1" x14ac:dyDescent="0.3">
      <c r="A88" s="231"/>
      <c r="B88" s="247" t="s">
        <v>623</v>
      </c>
      <c r="C88" s="248" t="s">
        <v>624</v>
      </c>
      <c r="D88" s="247" t="s">
        <v>623</v>
      </c>
      <c r="E88" s="249" t="s">
        <v>3</v>
      </c>
      <c r="F88" s="286">
        <f>F80</f>
        <v>37</v>
      </c>
      <c r="G88" s="266"/>
    </row>
    <row r="89" spans="1:7" s="263" customFormat="1" ht="12.75" customHeight="1" x14ac:dyDescent="0.3">
      <c r="A89" s="231"/>
      <c r="B89" s="247" t="s">
        <v>625</v>
      </c>
      <c r="C89" s="248" t="s">
        <v>626</v>
      </c>
      <c r="D89" s="247" t="s">
        <v>625</v>
      </c>
      <c r="E89" s="249" t="s">
        <v>4</v>
      </c>
      <c r="F89" s="286">
        <f>F83</f>
        <v>450</v>
      </c>
      <c r="G89" s="266"/>
    </row>
    <row r="90" spans="1:7" s="263" customFormat="1" ht="12.75" customHeight="1" x14ac:dyDescent="0.3">
      <c r="A90" s="231"/>
      <c r="B90" s="247" t="s">
        <v>627</v>
      </c>
      <c r="C90" s="248" t="s">
        <v>628</v>
      </c>
      <c r="D90" s="247" t="s">
        <v>627</v>
      </c>
      <c r="E90" s="249" t="s">
        <v>9</v>
      </c>
      <c r="F90" s="286">
        <f>F79</f>
        <v>6</v>
      </c>
      <c r="G90" s="266"/>
    </row>
    <row r="91" spans="1:7" s="263" customFormat="1" ht="12.75" customHeight="1" x14ac:dyDescent="0.3">
      <c r="A91" s="231"/>
      <c r="B91" s="247" t="s">
        <v>629</v>
      </c>
      <c r="C91" s="248" t="s">
        <v>630</v>
      </c>
      <c r="D91" s="247" t="s">
        <v>629</v>
      </c>
      <c r="E91" s="249" t="s">
        <v>3</v>
      </c>
      <c r="F91" s="286">
        <f>F75</f>
        <v>35</v>
      </c>
      <c r="G91" s="266"/>
    </row>
    <row r="92" spans="1:7" s="263" customFormat="1" ht="12.75" customHeight="1" x14ac:dyDescent="0.3">
      <c r="A92" s="231"/>
      <c r="B92" s="247" t="s">
        <v>631</v>
      </c>
      <c r="C92" s="248" t="s">
        <v>632</v>
      </c>
      <c r="D92" s="247" t="s">
        <v>631</v>
      </c>
      <c r="E92" s="249" t="s">
        <v>4</v>
      </c>
      <c r="F92" s="286">
        <f>F76</f>
        <v>85</v>
      </c>
      <c r="G92" s="266"/>
    </row>
    <row r="93" spans="1:7" s="263" customFormat="1" ht="12.75" customHeight="1" x14ac:dyDescent="0.3">
      <c r="A93" s="231"/>
      <c r="B93" s="247" t="s">
        <v>633</v>
      </c>
      <c r="C93" s="248" t="s">
        <v>634</v>
      </c>
      <c r="D93" s="247" t="s">
        <v>633</v>
      </c>
      <c r="E93" s="249" t="s">
        <v>9</v>
      </c>
      <c r="F93" s="286">
        <v>4.5</v>
      </c>
      <c r="G93" s="266"/>
    </row>
    <row r="94" spans="1:7" s="263" customFormat="1" ht="12.75" customHeight="1" x14ac:dyDescent="0.3">
      <c r="A94" s="231"/>
      <c r="B94" s="247" t="s">
        <v>635</v>
      </c>
      <c r="C94" s="248" t="s">
        <v>636</v>
      </c>
      <c r="D94" s="247" t="s">
        <v>635</v>
      </c>
      <c r="E94" s="249" t="s">
        <v>3</v>
      </c>
      <c r="F94" s="286">
        <f>F88</f>
        <v>37</v>
      </c>
      <c r="G94" s="266"/>
    </row>
    <row r="95" spans="1:7" s="263" customFormat="1" ht="12.75" customHeight="1" x14ac:dyDescent="0.3">
      <c r="A95" s="231"/>
      <c r="B95" s="247" t="s">
        <v>637</v>
      </c>
      <c r="C95" s="248" t="s">
        <v>638</v>
      </c>
      <c r="D95" s="247" t="s">
        <v>637</v>
      </c>
      <c r="E95" s="249" t="s">
        <v>3</v>
      </c>
      <c r="F95" s="286">
        <v>45</v>
      </c>
      <c r="G95" s="266"/>
    </row>
    <row r="96" spans="1:7" s="263" customFormat="1" ht="12.75" customHeight="1" x14ac:dyDescent="0.3">
      <c r="A96" s="231"/>
      <c r="B96" s="247" t="s">
        <v>639</v>
      </c>
      <c r="C96" s="248" t="s">
        <v>640</v>
      </c>
      <c r="D96" s="247" t="s">
        <v>639</v>
      </c>
      <c r="E96" s="249" t="s">
        <v>4</v>
      </c>
      <c r="F96" s="286">
        <v>180</v>
      </c>
      <c r="G96" s="266"/>
    </row>
    <row r="97" spans="1:7" s="263" customFormat="1" ht="12.75" customHeight="1" x14ac:dyDescent="0.3">
      <c r="A97" s="231"/>
      <c r="B97" s="247" t="s">
        <v>641</v>
      </c>
      <c r="C97" s="248" t="s">
        <v>642</v>
      </c>
      <c r="D97" s="247" t="s">
        <v>641</v>
      </c>
      <c r="E97" s="249" t="s">
        <v>4</v>
      </c>
      <c r="F97" s="286">
        <v>410</v>
      </c>
      <c r="G97" s="266"/>
    </row>
    <row r="98" spans="1:7" s="263" customFormat="1" ht="12.75" customHeight="1" x14ac:dyDescent="0.3">
      <c r="A98" s="231"/>
      <c r="B98" s="247" t="s">
        <v>643</v>
      </c>
      <c r="C98" s="248" t="s">
        <v>644</v>
      </c>
      <c r="D98" s="247" t="s">
        <v>643</v>
      </c>
      <c r="E98" s="249" t="s">
        <v>9</v>
      </c>
      <c r="F98" s="286">
        <f>F93</f>
        <v>4.5</v>
      </c>
      <c r="G98" s="266"/>
    </row>
    <row r="99" spans="1:7" s="263" customFormat="1" ht="12.75" customHeight="1" x14ac:dyDescent="0.3">
      <c r="A99" s="231"/>
      <c r="B99" s="247" t="s">
        <v>645</v>
      </c>
      <c r="C99" s="250" t="s">
        <v>646</v>
      </c>
      <c r="D99" s="247" t="s">
        <v>645</v>
      </c>
      <c r="E99" s="249" t="s">
        <v>3</v>
      </c>
      <c r="F99" s="286">
        <v>40</v>
      </c>
      <c r="G99" s="266"/>
    </row>
    <row r="100" spans="1:7" s="263" customFormat="1" ht="12.75" customHeight="1" x14ac:dyDescent="0.3">
      <c r="A100" s="231"/>
      <c r="B100" s="247" t="s">
        <v>647</v>
      </c>
      <c r="C100" s="250" t="s">
        <v>648</v>
      </c>
      <c r="D100" s="247" t="s">
        <v>647</v>
      </c>
      <c r="E100" s="249" t="s">
        <v>3</v>
      </c>
      <c r="F100" s="286">
        <v>120</v>
      </c>
      <c r="G100" s="266"/>
    </row>
    <row r="101" spans="1:7" s="263" customFormat="1" ht="12.75" customHeight="1" x14ac:dyDescent="0.3">
      <c r="A101" s="231"/>
      <c r="B101" s="247" t="s">
        <v>649</v>
      </c>
      <c r="C101" s="250" t="s">
        <v>650</v>
      </c>
      <c r="D101" s="247" t="s">
        <v>649</v>
      </c>
      <c r="E101" s="249" t="s">
        <v>3</v>
      </c>
      <c r="F101" s="286">
        <v>40</v>
      </c>
      <c r="G101" s="266"/>
    </row>
    <row r="102" spans="1:7" s="263" customFormat="1" ht="12.75" customHeight="1" x14ac:dyDescent="0.3">
      <c r="A102" s="231"/>
      <c r="B102" s="247" t="s">
        <v>651</v>
      </c>
      <c r="C102" s="250" t="s">
        <v>652</v>
      </c>
      <c r="D102" s="247" t="s">
        <v>651</v>
      </c>
      <c r="E102" s="249" t="s">
        <v>3</v>
      </c>
      <c r="F102" s="286">
        <v>25</v>
      </c>
      <c r="G102" s="266"/>
    </row>
    <row r="103" spans="1:7" s="263" customFormat="1" ht="12.75" customHeight="1" x14ac:dyDescent="0.3">
      <c r="A103" s="231"/>
      <c r="B103" s="247" t="s">
        <v>653</v>
      </c>
      <c r="C103" s="250" t="s">
        <v>119</v>
      </c>
      <c r="D103" s="247" t="s">
        <v>653</v>
      </c>
      <c r="E103" s="249" t="s">
        <v>3</v>
      </c>
      <c r="F103" s="286">
        <v>55</v>
      </c>
      <c r="G103" s="266"/>
    </row>
    <row r="104" spans="1:7" s="263" customFormat="1" ht="12.75" customHeight="1" x14ac:dyDescent="0.3">
      <c r="A104" s="231"/>
      <c r="B104" s="247" t="s">
        <v>654</v>
      </c>
      <c r="C104" s="250" t="s">
        <v>655</v>
      </c>
      <c r="D104" s="247" t="s">
        <v>654</v>
      </c>
      <c r="E104" s="249" t="s">
        <v>9</v>
      </c>
      <c r="F104" s="286">
        <v>8</v>
      </c>
      <c r="G104" s="266"/>
    </row>
    <row r="105" spans="1:7" s="263" customFormat="1" ht="12.75" customHeight="1" x14ac:dyDescent="0.3">
      <c r="A105" s="231"/>
      <c r="B105" s="247" t="s">
        <v>656</v>
      </c>
      <c r="C105" s="251" t="s">
        <v>657</v>
      </c>
      <c r="D105" s="247" t="s">
        <v>656</v>
      </c>
      <c r="E105" s="249" t="s">
        <v>4</v>
      </c>
      <c r="F105" s="286">
        <v>40</v>
      </c>
      <c r="G105" s="266"/>
    </row>
    <row r="106" spans="1:7" s="263" customFormat="1" ht="12.75" customHeight="1" x14ac:dyDescent="0.3">
      <c r="A106" s="231"/>
      <c r="B106" s="247" t="s">
        <v>658</v>
      </c>
      <c r="C106" s="250" t="s">
        <v>659</v>
      </c>
      <c r="D106" s="247" t="s">
        <v>658</v>
      </c>
      <c r="E106" s="249" t="s">
        <v>660</v>
      </c>
      <c r="F106" s="286">
        <v>30</v>
      </c>
      <c r="G106" s="266"/>
    </row>
    <row r="107" spans="1:7" s="263" customFormat="1" ht="12.75" customHeight="1" x14ac:dyDescent="0.3">
      <c r="A107" s="231"/>
      <c r="B107" s="247" t="s">
        <v>661</v>
      </c>
      <c r="C107" s="250" t="s">
        <v>662</v>
      </c>
      <c r="D107" s="247" t="s">
        <v>661</v>
      </c>
      <c r="E107" s="249" t="s">
        <v>4</v>
      </c>
      <c r="F107" s="286">
        <f>F78</f>
        <v>450</v>
      </c>
      <c r="G107" s="266"/>
    </row>
    <row r="108" spans="1:7" s="263" customFormat="1" ht="12.75" customHeight="1" x14ac:dyDescent="0.3">
      <c r="A108" s="231"/>
      <c r="B108" s="247" t="s">
        <v>663</v>
      </c>
      <c r="C108" s="250" t="s">
        <v>664</v>
      </c>
      <c r="D108" s="247" t="s">
        <v>663</v>
      </c>
      <c r="E108" s="249" t="s">
        <v>9</v>
      </c>
      <c r="F108" s="286">
        <v>8</v>
      </c>
      <c r="G108" s="266"/>
    </row>
    <row r="109" spans="1:7" s="263" customFormat="1" ht="12.75" customHeight="1" x14ac:dyDescent="0.3">
      <c r="A109" s="231"/>
      <c r="B109" s="247" t="s">
        <v>665</v>
      </c>
      <c r="C109" s="250" t="s">
        <v>666</v>
      </c>
      <c r="D109" s="247" t="s">
        <v>665</v>
      </c>
      <c r="E109" s="249" t="s">
        <v>3</v>
      </c>
      <c r="F109" s="286">
        <f>F80</f>
        <v>37</v>
      </c>
      <c r="G109" s="266"/>
    </row>
    <row r="110" spans="1:7" s="263" customFormat="1" ht="12.75" customHeight="1" x14ac:dyDescent="0.3">
      <c r="A110" s="231"/>
      <c r="B110" s="247" t="s">
        <v>667</v>
      </c>
      <c r="C110" s="250" t="s">
        <v>668</v>
      </c>
      <c r="D110" s="247" t="s">
        <v>667</v>
      </c>
      <c r="E110" s="249" t="s">
        <v>9</v>
      </c>
      <c r="F110" s="286">
        <v>6</v>
      </c>
      <c r="G110" s="266"/>
    </row>
    <row r="111" spans="1:7" s="263" customFormat="1" ht="12.75" customHeight="1" x14ac:dyDescent="0.3">
      <c r="A111" s="231"/>
      <c r="B111" s="247" t="s">
        <v>669</v>
      </c>
      <c r="C111" s="251" t="s">
        <v>511</v>
      </c>
      <c r="D111" s="247" t="s">
        <v>669</v>
      </c>
      <c r="E111" s="249" t="s">
        <v>4</v>
      </c>
      <c r="F111" s="286">
        <v>600</v>
      </c>
      <c r="G111" s="266"/>
    </row>
    <row r="112" spans="1:7" s="263" customFormat="1" ht="12.75" customHeight="1" x14ac:dyDescent="0.3">
      <c r="A112" s="231"/>
      <c r="B112" s="247" t="s">
        <v>670</v>
      </c>
      <c r="C112" s="251" t="s">
        <v>671</v>
      </c>
      <c r="D112" s="247" t="s">
        <v>670</v>
      </c>
      <c r="E112" s="249" t="s">
        <v>4</v>
      </c>
      <c r="F112" s="286">
        <f>F78</f>
        <v>450</v>
      </c>
      <c r="G112" s="266"/>
    </row>
    <row r="113" spans="1:7" s="263" customFormat="1" ht="12.75" customHeight="1" x14ac:dyDescent="0.3">
      <c r="A113" s="231"/>
      <c r="B113" s="247" t="s">
        <v>672</v>
      </c>
      <c r="C113" s="251" t="s">
        <v>673</v>
      </c>
      <c r="D113" s="247" t="s">
        <v>672</v>
      </c>
      <c r="E113" s="249" t="s">
        <v>9</v>
      </c>
      <c r="F113" s="286">
        <f>F79</f>
        <v>6</v>
      </c>
      <c r="G113" s="266"/>
    </row>
    <row r="114" spans="1:7" s="263" customFormat="1" ht="12.75" customHeight="1" x14ac:dyDescent="0.3">
      <c r="A114" s="231"/>
      <c r="B114" s="247" t="s">
        <v>674</v>
      </c>
      <c r="C114" s="251" t="s">
        <v>675</v>
      </c>
      <c r="D114" s="247" t="s">
        <v>674</v>
      </c>
      <c r="E114" s="249" t="s">
        <v>3</v>
      </c>
      <c r="F114" s="286">
        <v>500</v>
      </c>
      <c r="G114" s="266"/>
    </row>
    <row r="115" spans="1:7" s="263" customFormat="1" ht="12.75" customHeight="1" x14ac:dyDescent="0.3">
      <c r="A115" s="231"/>
      <c r="B115" s="247" t="s">
        <v>676</v>
      </c>
      <c r="C115" s="248" t="s">
        <v>677</v>
      </c>
      <c r="D115" s="247" t="s">
        <v>676</v>
      </c>
      <c r="E115" s="252" t="s">
        <v>4</v>
      </c>
      <c r="F115" s="286">
        <v>520</v>
      </c>
      <c r="G115" s="266"/>
    </row>
    <row r="116" spans="1:7" s="263" customFormat="1" ht="12.75" customHeight="1" x14ac:dyDescent="0.3">
      <c r="A116" s="231"/>
      <c r="B116" s="247" t="s">
        <v>678</v>
      </c>
      <c r="C116" s="248" t="s">
        <v>679</v>
      </c>
      <c r="D116" s="247" t="s">
        <v>678</v>
      </c>
      <c r="E116" s="252" t="s">
        <v>4</v>
      </c>
      <c r="F116" s="286">
        <f>$F$27</f>
        <v>0</v>
      </c>
      <c r="G116" s="266"/>
    </row>
    <row r="117" spans="1:7" s="263" customFormat="1" ht="12.75" customHeight="1" x14ac:dyDescent="0.3">
      <c r="A117" s="231"/>
      <c r="B117" s="247" t="s">
        <v>680</v>
      </c>
      <c r="C117" s="253" t="s">
        <v>507</v>
      </c>
      <c r="D117" s="247" t="s">
        <v>680</v>
      </c>
      <c r="E117" s="252" t="s">
        <v>4</v>
      </c>
      <c r="F117" s="286">
        <f t="shared" ref="F117:F120" si="0">$F$27</f>
        <v>0</v>
      </c>
      <c r="G117" s="266"/>
    </row>
    <row r="118" spans="1:7" s="263" customFormat="1" ht="12.75" customHeight="1" x14ac:dyDescent="0.3">
      <c r="A118" s="231"/>
      <c r="B118" s="247" t="s">
        <v>681</v>
      </c>
      <c r="C118" s="253" t="s">
        <v>508</v>
      </c>
      <c r="D118" s="247" t="s">
        <v>681</v>
      </c>
      <c r="E118" s="252" t="s">
        <v>4</v>
      </c>
      <c r="F118" s="286">
        <f t="shared" si="0"/>
        <v>0</v>
      </c>
      <c r="G118" s="266"/>
    </row>
    <row r="119" spans="1:7" s="263" customFormat="1" ht="12.75" customHeight="1" x14ac:dyDescent="0.3">
      <c r="A119" s="231"/>
      <c r="B119" s="247" t="s">
        <v>682</v>
      </c>
      <c r="C119" s="253" t="s">
        <v>509</v>
      </c>
      <c r="D119" s="247" t="s">
        <v>682</v>
      </c>
      <c r="E119" s="252" t="s">
        <v>4</v>
      </c>
      <c r="F119" s="286">
        <f t="shared" si="0"/>
        <v>0</v>
      </c>
      <c r="G119" s="266"/>
    </row>
    <row r="120" spans="1:7" s="263" customFormat="1" ht="12.75" customHeight="1" x14ac:dyDescent="0.3">
      <c r="A120" s="231"/>
      <c r="B120" s="247" t="s">
        <v>683</v>
      </c>
      <c r="C120" s="253" t="s">
        <v>510</v>
      </c>
      <c r="D120" s="247" t="s">
        <v>683</v>
      </c>
      <c r="E120" s="252" t="s">
        <v>4</v>
      </c>
      <c r="F120" s="286">
        <f t="shared" si="0"/>
        <v>0</v>
      </c>
      <c r="G120" s="266"/>
    </row>
    <row r="121" spans="1:7" s="263" customFormat="1" ht="12.75" customHeight="1" x14ac:dyDescent="0.3">
      <c r="A121" s="231"/>
      <c r="B121" s="247" t="s">
        <v>684</v>
      </c>
      <c r="C121" s="254" t="s">
        <v>685</v>
      </c>
      <c r="D121" s="247" t="s">
        <v>684</v>
      </c>
      <c r="E121" s="252" t="s">
        <v>4</v>
      </c>
      <c r="F121" s="286">
        <f>F74</f>
        <v>55</v>
      </c>
      <c r="G121" s="266"/>
    </row>
    <row r="122" spans="1:7" s="263" customFormat="1" ht="12.75" customHeight="1" x14ac:dyDescent="0.3">
      <c r="A122" s="231"/>
      <c r="B122" s="247" t="s">
        <v>686</v>
      </c>
      <c r="C122" s="253" t="s">
        <v>687</v>
      </c>
      <c r="D122" s="247" t="s">
        <v>686</v>
      </c>
      <c r="E122" s="252" t="s">
        <v>4</v>
      </c>
      <c r="F122" s="286">
        <f>F75</f>
        <v>35</v>
      </c>
      <c r="G122" s="266"/>
    </row>
    <row r="123" spans="1:7" s="263" customFormat="1" ht="12.75" customHeight="1" x14ac:dyDescent="0.3">
      <c r="A123" s="231"/>
      <c r="B123" s="247" t="s">
        <v>688</v>
      </c>
      <c r="C123" s="253" t="s">
        <v>689</v>
      </c>
      <c r="D123" s="247" t="s">
        <v>688</v>
      </c>
      <c r="E123" s="255" t="s">
        <v>4</v>
      </c>
      <c r="F123" s="286">
        <f>F116</f>
        <v>0</v>
      </c>
      <c r="G123" s="266"/>
    </row>
    <row r="124" spans="1:7" s="263" customFormat="1" ht="12.75" customHeight="1" x14ac:dyDescent="0.3">
      <c r="A124" s="231"/>
      <c r="B124" s="247" t="s">
        <v>690</v>
      </c>
      <c r="C124" s="253" t="s">
        <v>691</v>
      </c>
      <c r="D124" s="247" t="s">
        <v>690</v>
      </c>
      <c r="E124" s="255" t="s">
        <v>9</v>
      </c>
      <c r="F124" s="286">
        <f>F90</f>
        <v>6</v>
      </c>
      <c r="G124" s="266"/>
    </row>
    <row r="125" spans="1:7" s="263" customFormat="1" ht="12.75" customHeight="1" x14ac:dyDescent="0.3">
      <c r="A125" s="231"/>
      <c r="B125" s="247" t="s">
        <v>692</v>
      </c>
      <c r="C125" s="253" t="s">
        <v>693</v>
      </c>
      <c r="D125" s="247" t="s">
        <v>692</v>
      </c>
      <c r="E125" s="255" t="s">
        <v>3</v>
      </c>
      <c r="F125" s="286">
        <f>F91</f>
        <v>35</v>
      </c>
      <c r="G125" s="266"/>
    </row>
    <row r="126" spans="1:7" s="263" customFormat="1" ht="12.75" customHeight="1" x14ac:dyDescent="0.3">
      <c r="A126" s="231"/>
      <c r="B126" s="247" t="s">
        <v>694</v>
      </c>
      <c r="C126" s="248" t="s">
        <v>695</v>
      </c>
      <c r="D126" s="247" t="s">
        <v>694</v>
      </c>
      <c r="E126" s="249" t="s">
        <v>4</v>
      </c>
      <c r="F126" s="286">
        <v>450</v>
      </c>
      <c r="G126" s="266"/>
    </row>
    <row r="127" spans="1:7" s="263" customFormat="1" ht="12.75" customHeight="1" x14ac:dyDescent="0.3">
      <c r="A127" s="231"/>
      <c r="B127" s="247" t="s">
        <v>696</v>
      </c>
      <c r="C127" s="251" t="s">
        <v>697</v>
      </c>
      <c r="D127" s="247" t="s">
        <v>696</v>
      </c>
      <c r="E127" s="249" t="s">
        <v>4</v>
      </c>
      <c r="F127" s="286">
        <v>600</v>
      </c>
      <c r="G127" s="266"/>
    </row>
    <row r="128" spans="1:7" s="263" customFormat="1" ht="12.75" customHeight="1" x14ac:dyDescent="0.3">
      <c r="A128" s="231"/>
      <c r="B128" s="247" t="s">
        <v>698</v>
      </c>
      <c r="C128" s="251" t="s">
        <v>699</v>
      </c>
      <c r="D128" s="247" t="s">
        <v>698</v>
      </c>
      <c r="E128" s="249" t="s">
        <v>3</v>
      </c>
      <c r="F128" s="286">
        <v>0</v>
      </c>
      <c r="G128" s="266"/>
    </row>
    <row r="129" spans="1:7" s="263" customFormat="1" ht="12.75" customHeight="1" x14ac:dyDescent="0.3">
      <c r="A129" s="231"/>
      <c r="B129" s="231" t="s">
        <v>741</v>
      </c>
      <c r="C129" s="256" t="s">
        <v>742</v>
      </c>
      <c r="D129" s="231" t="s">
        <v>741</v>
      </c>
      <c r="E129" s="252" t="s">
        <v>3</v>
      </c>
      <c r="F129" s="286">
        <v>100</v>
      </c>
      <c r="G129" s="266"/>
    </row>
    <row r="130" spans="1:7" s="263" customFormat="1" ht="12.75" customHeight="1" x14ac:dyDescent="0.3">
      <c r="A130" s="231"/>
      <c r="B130" s="231" t="s">
        <v>743</v>
      </c>
      <c r="C130" s="256" t="s">
        <v>744</v>
      </c>
      <c r="D130" s="231" t="s">
        <v>743</v>
      </c>
      <c r="E130" s="252" t="s">
        <v>4</v>
      </c>
      <c r="F130" s="286">
        <v>75</v>
      </c>
      <c r="G130" s="266"/>
    </row>
    <row r="131" spans="1:7" s="263" customFormat="1" ht="12.75" customHeight="1" x14ac:dyDescent="0.3">
      <c r="A131" s="272" t="s">
        <v>70</v>
      </c>
      <c r="B131" s="270"/>
      <c r="C131" s="240"/>
      <c r="D131" s="239"/>
      <c r="E131" s="268"/>
      <c r="F131" s="285"/>
      <c r="G131" s="239"/>
    </row>
    <row r="132" spans="1:7" s="263" customFormat="1" ht="12.75" customHeight="1" x14ac:dyDescent="0.3">
      <c r="A132" s="231"/>
      <c r="B132" s="261" t="s">
        <v>700</v>
      </c>
      <c r="C132" s="260" t="s">
        <v>701</v>
      </c>
      <c r="D132" s="261" t="s">
        <v>700</v>
      </c>
      <c r="E132" s="262" t="s">
        <v>3</v>
      </c>
      <c r="F132" s="287">
        <f>20</f>
        <v>20</v>
      </c>
      <c r="G132" s="266"/>
    </row>
    <row r="133" spans="1:7" s="263" customFormat="1" ht="12.75" customHeight="1" x14ac:dyDescent="0.3">
      <c r="A133" s="231"/>
      <c r="B133" s="261" t="s">
        <v>702</v>
      </c>
      <c r="C133" s="260" t="s">
        <v>703</v>
      </c>
      <c r="D133" s="261" t="s">
        <v>702</v>
      </c>
      <c r="E133" s="262" t="s">
        <v>3</v>
      </c>
      <c r="F133" s="287">
        <v>100</v>
      </c>
      <c r="G133" s="266"/>
    </row>
    <row r="134" spans="1:7" s="263" customFormat="1" ht="12.75" customHeight="1" x14ac:dyDescent="0.3">
      <c r="A134" s="231"/>
      <c r="B134" s="261" t="s">
        <v>704</v>
      </c>
      <c r="C134" s="260" t="s">
        <v>705</v>
      </c>
      <c r="D134" s="261" t="s">
        <v>704</v>
      </c>
      <c r="E134" s="262" t="s">
        <v>3</v>
      </c>
      <c r="F134" s="287">
        <v>7.5</v>
      </c>
      <c r="G134" s="266"/>
    </row>
    <row r="135" spans="1:7" s="263" customFormat="1" ht="12.75" customHeight="1" x14ac:dyDescent="0.3">
      <c r="A135" s="231"/>
      <c r="B135" s="261" t="s">
        <v>706</v>
      </c>
      <c r="C135" s="260" t="s">
        <v>707</v>
      </c>
      <c r="D135" s="261" t="s">
        <v>706</v>
      </c>
      <c r="E135" s="262" t="s">
        <v>3</v>
      </c>
      <c r="F135" s="287">
        <v>175</v>
      </c>
      <c r="G135" s="266"/>
    </row>
    <row r="136" spans="1:7" s="263" customFormat="1" ht="12.75" customHeight="1" x14ac:dyDescent="0.3">
      <c r="A136" s="231"/>
      <c r="B136" s="261" t="s">
        <v>708</v>
      </c>
      <c r="C136" s="260" t="s">
        <v>709</v>
      </c>
      <c r="D136" s="261" t="s">
        <v>708</v>
      </c>
      <c r="E136" s="262" t="s">
        <v>3</v>
      </c>
      <c r="F136" s="287">
        <v>175</v>
      </c>
      <c r="G136" s="266"/>
    </row>
    <row r="137" spans="1:7" s="263" customFormat="1" ht="12.75" customHeight="1" x14ac:dyDescent="0.3">
      <c r="A137" s="231"/>
      <c r="B137" s="261" t="s">
        <v>710</v>
      </c>
      <c r="C137" s="260" t="s">
        <v>711</v>
      </c>
      <c r="D137" s="261" t="s">
        <v>710</v>
      </c>
      <c r="E137" s="262" t="s">
        <v>75</v>
      </c>
      <c r="F137" s="287">
        <v>35</v>
      </c>
      <c r="G137" s="266"/>
    </row>
    <row r="138" spans="1:7" s="263" customFormat="1" ht="12.75" customHeight="1" x14ac:dyDescent="0.3">
      <c r="A138" s="231"/>
      <c r="B138" s="261" t="s">
        <v>712</v>
      </c>
      <c r="C138" s="260" t="s">
        <v>713</v>
      </c>
      <c r="D138" s="261" t="s">
        <v>712</v>
      </c>
      <c r="E138" s="262" t="s">
        <v>75</v>
      </c>
      <c r="F138" s="287">
        <v>25</v>
      </c>
      <c r="G138" s="266"/>
    </row>
    <row r="139" spans="1:7" s="263" customFormat="1" ht="12.75" customHeight="1" x14ac:dyDescent="0.3">
      <c r="A139" s="231"/>
      <c r="B139" s="261" t="s">
        <v>714</v>
      </c>
      <c r="C139" s="260" t="s">
        <v>715</v>
      </c>
      <c r="D139" s="261" t="s">
        <v>714</v>
      </c>
      <c r="E139" s="262" t="s">
        <v>3</v>
      </c>
      <c r="F139" s="287">
        <v>75</v>
      </c>
      <c r="G139" s="266"/>
    </row>
    <row r="140" spans="1:7" s="263" customFormat="1" ht="12.75" customHeight="1" x14ac:dyDescent="0.3">
      <c r="A140" s="231"/>
      <c r="B140" s="261" t="s">
        <v>716</v>
      </c>
      <c r="C140" s="260" t="s">
        <v>717</v>
      </c>
      <c r="D140" s="261" t="s">
        <v>716</v>
      </c>
      <c r="E140" s="262" t="s">
        <v>3</v>
      </c>
      <c r="F140" s="287">
        <v>1000</v>
      </c>
      <c r="G140" s="266"/>
    </row>
    <row r="141" spans="1:7" s="263" customFormat="1" ht="12.75" customHeight="1" x14ac:dyDescent="0.3">
      <c r="A141" s="231"/>
      <c r="B141" s="261" t="s">
        <v>718</v>
      </c>
      <c r="C141" s="260" t="s">
        <v>719</v>
      </c>
      <c r="D141" s="261" t="s">
        <v>718</v>
      </c>
      <c r="E141" s="262" t="s">
        <v>3</v>
      </c>
      <c r="F141" s="287">
        <v>20</v>
      </c>
      <c r="G141" s="266"/>
    </row>
    <row r="142" spans="1:7" s="263" customFormat="1" ht="12.75" customHeight="1" x14ac:dyDescent="0.3">
      <c r="A142" s="231"/>
      <c r="B142" s="261" t="s">
        <v>720</v>
      </c>
      <c r="C142" s="260" t="s">
        <v>721</v>
      </c>
      <c r="D142" s="261" t="s">
        <v>720</v>
      </c>
      <c r="E142" s="262" t="s">
        <v>75</v>
      </c>
      <c r="F142" s="287">
        <v>100</v>
      </c>
      <c r="G142" s="266"/>
    </row>
    <row r="143" spans="1:7" s="263" customFormat="1" ht="12.75" customHeight="1" x14ac:dyDescent="0.3">
      <c r="A143" s="231"/>
      <c r="B143" s="261" t="s">
        <v>722</v>
      </c>
      <c r="C143" s="260" t="s">
        <v>723</v>
      </c>
      <c r="D143" s="261" t="s">
        <v>722</v>
      </c>
      <c r="E143" s="262" t="s">
        <v>3</v>
      </c>
      <c r="F143" s="287">
        <v>10</v>
      </c>
      <c r="G143" s="266"/>
    </row>
    <row r="144" spans="1:7" s="263" customFormat="1" ht="12.75" customHeight="1" x14ac:dyDescent="0.3">
      <c r="A144" s="231"/>
      <c r="B144" s="261" t="s">
        <v>724</v>
      </c>
      <c r="C144" s="260" t="s">
        <v>725</v>
      </c>
      <c r="D144" s="261" t="s">
        <v>724</v>
      </c>
      <c r="E144" s="262" t="s">
        <v>3</v>
      </c>
      <c r="F144" s="287">
        <v>75</v>
      </c>
      <c r="G144" s="266"/>
    </row>
    <row r="145" spans="1:7" s="263" customFormat="1" ht="12.75" customHeight="1" x14ac:dyDescent="0.3">
      <c r="A145" s="231"/>
      <c r="B145" s="261" t="s">
        <v>726</v>
      </c>
      <c r="C145" s="260" t="s">
        <v>727</v>
      </c>
      <c r="D145" s="261" t="s">
        <v>726</v>
      </c>
      <c r="E145" s="262" t="s">
        <v>3</v>
      </c>
      <c r="F145" s="287">
        <v>15</v>
      </c>
      <c r="G145" s="266"/>
    </row>
    <row r="146" spans="1:7" s="263" customFormat="1" ht="12.75" customHeight="1" x14ac:dyDescent="0.3">
      <c r="A146" s="231"/>
      <c r="B146" s="261" t="s">
        <v>728</v>
      </c>
      <c r="C146" s="260" t="s">
        <v>729</v>
      </c>
      <c r="D146" s="261" t="s">
        <v>728</v>
      </c>
      <c r="E146" s="262" t="s">
        <v>3</v>
      </c>
      <c r="F146" s="287">
        <v>50</v>
      </c>
      <c r="G146" s="266"/>
    </row>
    <row r="147" spans="1:7" s="263" customFormat="1" ht="12.75" customHeight="1" x14ac:dyDescent="0.3">
      <c r="A147" s="231"/>
      <c r="B147" s="261" t="s">
        <v>730</v>
      </c>
      <c r="C147" s="260" t="s">
        <v>731</v>
      </c>
      <c r="D147" s="261" t="s">
        <v>730</v>
      </c>
      <c r="E147" s="262" t="s">
        <v>3</v>
      </c>
      <c r="F147" s="287">
        <v>75</v>
      </c>
      <c r="G147" s="266"/>
    </row>
    <row r="148" spans="1:7" s="263" customFormat="1" ht="12.75" customHeight="1" x14ac:dyDescent="0.3">
      <c r="A148" s="231"/>
      <c r="B148" s="261" t="s">
        <v>732</v>
      </c>
      <c r="C148" s="260" t="s">
        <v>733</v>
      </c>
      <c r="D148" s="261" t="s">
        <v>732</v>
      </c>
      <c r="E148" s="262" t="s">
        <v>75</v>
      </c>
      <c r="F148" s="287">
        <v>4</v>
      </c>
      <c r="G148" s="266"/>
    </row>
    <row r="149" spans="1:7" s="263" customFormat="1" ht="12.75" customHeight="1" x14ac:dyDescent="0.3">
      <c r="A149" s="231"/>
      <c r="B149" s="261" t="s">
        <v>734</v>
      </c>
      <c r="C149" s="260" t="s">
        <v>735</v>
      </c>
      <c r="D149" s="261" t="s">
        <v>734</v>
      </c>
      <c r="E149" s="262" t="s">
        <v>3</v>
      </c>
      <c r="F149" s="287">
        <v>5</v>
      </c>
      <c r="G149" s="266"/>
    </row>
    <row r="150" spans="1:7" s="263" customFormat="1" ht="12.75" customHeight="1" x14ac:dyDescent="0.3">
      <c r="A150" s="231"/>
      <c r="B150" s="261" t="s">
        <v>736</v>
      </c>
      <c r="C150" s="260" t="s">
        <v>737</v>
      </c>
      <c r="D150" s="261" t="s">
        <v>736</v>
      </c>
      <c r="E150" s="262" t="s">
        <v>3</v>
      </c>
      <c r="F150" s="287">
        <v>50</v>
      </c>
      <c r="G150" s="266"/>
    </row>
    <row r="151" spans="1:7" s="263" customFormat="1" ht="12.75" customHeight="1" x14ac:dyDescent="0.3">
      <c r="A151" s="231"/>
      <c r="B151" s="261" t="s">
        <v>738</v>
      </c>
      <c r="C151" s="260" t="s">
        <v>739</v>
      </c>
      <c r="D151" s="261" t="s">
        <v>738</v>
      </c>
      <c r="E151" s="262" t="s">
        <v>3</v>
      </c>
      <c r="F151" s="287">
        <v>100</v>
      </c>
      <c r="G151" s="266"/>
    </row>
    <row r="152" spans="1:7" s="263" customFormat="1" ht="12.75" customHeight="1" x14ac:dyDescent="0.3">
      <c r="A152" s="231"/>
      <c r="B152" s="261" t="s">
        <v>740</v>
      </c>
      <c r="C152" s="260" t="s">
        <v>501</v>
      </c>
      <c r="D152" s="261" t="s">
        <v>740</v>
      </c>
      <c r="E152" s="262" t="s">
        <v>4</v>
      </c>
      <c r="F152" s="287">
        <v>300</v>
      </c>
      <c r="G152" s="266"/>
    </row>
    <row r="153" spans="1:7" s="263" customFormat="1" ht="12.75" customHeight="1" x14ac:dyDescent="0.3">
      <c r="A153" s="272" t="s">
        <v>969</v>
      </c>
      <c r="B153" s="270"/>
      <c r="C153" s="240"/>
      <c r="D153" s="239"/>
      <c r="E153" s="268"/>
      <c r="F153" s="285"/>
      <c r="G153" s="239"/>
    </row>
    <row r="154" spans="1:7" ht="12.75" customHeight="1" x14ac:dyDescent="0.3">
      <c r="A154" s="234"/>
      <c r="B154" s="234"/>
      <c r="C154" s="233" t="s">
        <v>814</v>
      </c>
      <c r="D154" s="232"/>
      <c r="E154" s="234" t="s">
        <v>1</v>
      </c>
      <c r="F154" s="282">
        <v>100</v>
      </c>
      <c r="G154" s="266"/>
    </row>
    <row r="155" spans="1:7" ht="12.75" customHeight="1" x14ac:dyDescent="0.3">
      <c r="A155" s="234"/>
      <c r="B155" s="234"/>
      <c r="C155" s="236" t="s">
        <v>815</v>
      </c>
      <c r="D155" s="232"/>
      <c r="E155" s="234" t="s">
        <v>1</v>
      </c>
      <c r="F155" s="282">
        <v>3000</v>
      </c>
      <c r="G155" s="266"/>
    </row>
    <row r="156" spans="1:7" ht="12.75" customHeight="1" x14ac:dyDescent="0.3">
      <c r="A156" s="234"/>
      <c r="B156" s="234"/>
      <c r="C156" s="236" t="s">
        <v>816</v>
      </c>
      <c r="D156" s="232"/>
      <c r="E156" s="234" t="s">
        <v>1</v>
      </c>
      <c r="F156" s="282">
        <v>500</v>
      </c>
      <c r="G156" s="266"/>
    </row>
    <row r="157" spans="1:7" ht="12.75" customHeight="1" x14ac:dyDescent="0.3">
      <c r="A157" s="234"/>
      <c r="B157" s="234"/>
      <c r="C157" s="236" t="s">
        <v>817</v>
      </c>
      <c r="D157" s="232"/>
      <c r="E157" s="234" t="s">
        <v>1</v>
      </c>
      <c r="F157" s="282">
        <v>300</v>
      </c>
      <c r="G157" s="266"/>
    </row>
    <row r="158" spans="1:7" ht="12.75" customHeight="1" x14ac:dyDescent="0.3">
      <c r="A158" s="234"/>
      <c r="B158" s="234"/>
      <c r="C158" s="236" t="s">
        <v>818</v>
      </c>
      <c r="D158" s="232"/>
      <c r="E158" s="234" t="s">
        <v>1</v>
      </c>
      <c r="F158" s="282">
        <v>250</v>
      </c>
      <c r="G158" s="266"/>
    </row>
    <row r="159" spans="1:7" ht="12.75" customHeight="1" x14ac:dyDescent="0.3">
      <c r="A159" s="234"/>
      <c r="B159" s="234"/>
      <c r="C159" s="236" t="s">
        <v>819</v>
      </c>
      <c r="D159" s="232"/>
      <c r="E159" s="234" t="s">
        <v>1</v>
      </c>
      <c r="F159" s="282">
        <v>200</v>
      </c>
      <c r="G159" s="266"/>
    </row>
    <row r="160" spans="1:7" ht="12.75" customHeight="1" x14ac:dyDescent="0.3">
      <c r="A160" s="234"/>
      <c r="B160" s="234"/>
      <c r="C160" s="236" t="s">
        <v>820</v>
      </c>
      <c r="D160" s="232"/>
      <c r="E160" s="234" t="s">
        <v>1</v>
      </c>
      <c r="F160" s="282">
        <v>200</v>
      </c>
      <c r="G160" s="266"/>
    </row>
    <row r="161" spans="1:7" ht="12.75" customHeight="1" x14ac:dyDescent="0.3">
      <c r="A161" s="234"/>
      <c r="B161" s="234"/>
      <c r="C161" s="236" t="s">
        <v>821</v>
      </c>
      <c r="D161" s="232"/>
      <c r="E161" s="234" t="s">
        <v>1</v>
      </c>
      <c r="F161" s="282">
        <v>300</v>
      </c>
      <c r="G161" s="266"/>
    </row>
    <row r="162" spans="1:7" ht="12.75" customHeight="1" x14ac:dyDescent="0.3">
      <c r="A162" s="234"/>
      <c r="B162" s="234"/>
      <c r="C162" s="236" t="s">
        <v>822</v>
      </c>
      <c r="D162" s="232"/>
      <c r="E162" s="234" t="s">
        <v>1</v>
      </c>
      <c r="F162" s="282">
        <v>200</v>
      </c>
      <c r="G162" s="266"/>
    </row>
    <row r="163" spans="1:7" ht="12.75" customHeight="1" x14ac:dyDescent="0.3">
      <c r="A163" s="234"/>
      <c r="B163" s="234"/>
      <c r="C163" s="236" t="s">
        <v>823</v>
      </c>
      <c r="D163" s="232"/>
      <c r="E163" s="234" t="s">
        <v>1</v>
      </c>
      <c r="F163" s="282">
        <v>150</v>
      </c>
      <c r="G163" s="266"/>
    </row>
    <row r="164" spans="1:7" ht="12.75" customHeight="1" x14ac:dyDescent="0.3">
      <c r="A164" s="234"/>
      <c r="B164" s="234"/>
      <c r="C164" s="236" t="s">
        <v>824</v>
      </c>
      <c r="D164" s="232"/>
      <c r="E164" s="234" t="s">
        <v>1</v>
      </c>
      <c r="F164" s="282">
        <v>320</v>
      </c>
      <c r="G164" s="266"/>
    </row>
    <row r="165" spans="1:7" ht="12.75" customHeight="1" x14ac:dyDescent="0.3">
      <c r="A165" s="234"/>
      <c r="B165" s="234"/>
      <c r="C165" s="233" t="s">
        <v>912</v>
      </c>
      <c r="D165" s="232"/>
      <c r="E165" s="234" t="s">
        <v>1</v>
      </c>
      <c r="F165" s="282">
        <v>1510</v>
      </c>
      <c r="G165" s="266" t="s">
        <v>825</v>
      </c>
    </row>
    <row r="166" spans="1:7" ht="12.75" customHeight="1" x14ac:dyDescent="0.3">
      <c r="A166" s="234"/>
      <c r="B166" s="234"/>
      <c r="C166" s="236" t="s">
        <v>913</v>
      </c>
      <c r="D166" s="232"/>
      <c r="E166" s="234" t="s">
        <v>1</v>
      </c>
      <c r="F166" s="282">
        <v>11000</v>
      </c>
      <c r="G166" s="267" t="s">
        <v>826</v>
      </c>
    </row>
    <row r="167" spans="1:7" ht="12.75" customHeight="1" x14ac:dyDescent="0.3">
      <c r="A167" s="234"/>
      <c r="B167" s="223"/>
      <c r="C167" s="237" t="s">
        <v>955</v>
      </c>
      <c r="D167" s="238"/>
      <c r="E167" s="238"/>
      <c r="F167" s="288"/>
      <c r="G167" s="268"/>
    </row>
    <row r="168" spans="1:7" ht="12.75" customHeight="1" x14ac:dyDescent="0.3">
      <c r="A168" s="234"/>
      <c r="B168" s="234"/>
      <c r="C168" s="233" t="s">
        <v>914</v>
      </c>
      <c r="D168" s="232"/>
      <c r="E168" s="234" t="s">
        <v>1</v>
      </c>
      <c r="F168" s="282">
        <v>9900</v>
      </c>
      <c r="G168" s="266" t="s">
        <v>827</v>
      </c>
    </row>
    <row r="169" spans="1:7" ht="12.75" customHeight="1" x14ac:dyDescent="0.3">
      <c r="A169" s="234"/>
      <c r="B169" s="234"/>
      <c r="C169" s="233" t="s">
        <v>915</v>
      </c>
      <c r="D169" s="232"/>
      <c r="E169" s="234" t="s">
        <v>1</v>
      </c>
      <c r="F169" s="282">
        <v>459</v>
      </c>
      <c r="G169" s="266"/>
    </row>
    <row r="170" spans="1:7" ht="12.75" customHeight="1" x14ac:dyDescent="0.3">
      <c r="A170" s="234"/>
      <c r="B170" s="234"/>
      <c r="C170" s="233" t="s">
        <v>916</v>
      </c>
      <c r="D170" s="232"/>
      <c r="E170" s="234" t="s">
        <v>1</v>
      </c>
      <c r="F170" s="282">
        <v>262</v>
      </c>
      <c r="G170" s="266"/>
    </row>
    <row r="171" spans="1:7" ht="12.75" customHeight="1" x14ac:dyDescent="0.3">
      <c r="A171" s="234"/>
      <c r="B171" s="234"/>
      <c r="C171" s="233" t="s">
        <v>917</v>
      </c>
      <c r="D171" s="232"/>
      <c r="E171" s="234" t="s">
        <v>1</v>
      </c>
      <c r="F171" s="282">
        <v>314</v>
      </c>
      <c r="G171" s="266" t="s">
        <v>828</v>
      </c>
    </row>
    <row r="172" spans="1:7" ht="12.75" customHeight="1" x14ac:dyDescent="0.3">
      <c r="A172" s="234"/>
      <c r="B172" s="234"/>
      <c r="C172" s="233" t="s">
        <v>918</v>
      </c>
      <c r="D172" s="232"/>
      <c r="E172" s="234" t="s">
        <v>1</v>
      </c>
      <c r="F172" s="282">
        <v>262</v>
      </c>
      <c r="G172" s="266"/>
    </row>
    <row r="173" spans="1:7" ht="12.75" customHeight="1" x14ac:dyDescent="0.3">
      <c r="A173" s="234"/>
      <c r="B173" s="234"/>
      <c r="C173" s="233" t="s">
        <v>919</v>
      </c>
      <c r="D173" s="232"/>
      <c r="E173" s="234" t="s">
        <v>1</v>
      </c>
      <c r="F173" s="282">
        <v>1400</v>
      </c>
      <c r="G173" s="266" t="s">
        <v>829</v>
      </c>
    </row>
    <row r="174" spans="1:7" ht="12.75" customHeight="1" x14ac:dyDescent="0.3">
      <c r="A174" s="234"/>
      <c r="B174" s="234"/>
      <c r="C174" s="233" t="s">
        <v>920</v>
      </c>
      <c r="D174" s="232"/>
      <c r="E174" s="234" t="s">
        <v>1</v>
      </c>
      <c r="F174" s="282">
        <v>1785</v>
      </c>
      <c r="G174" s="266" t="s">
        <v>830</v>
      </c>
    </row>
    <row r="175" spans="1:7" ht="12.75" customHeight="1" x14ac:dyDescent="0.3">
      <c r="A175" s="234"/>
      <c r="B175" s="234"/>
      <c r="C175" s="233" t="s">
        <v>921</v>
      </c>
      <c r="D175" s="232"/>
      <c r="E175" s="234" t="s">
        <v>1</v>
      </c>
      <c r="F175" s="282">
        <v>1622</v>
      </c>
      <c r="G175" s="266" t="s">
        <v>831</v>
      </c>
    </row>
    <row r="176" spans="1:7" ht="12.75" customHeight="1" x14ac:dyDescent="0.3">
      <c r="A176" s="234"/>
      <c r="B176" s="234"/>
      <c r="C176" s="233" t="s">
        <v>922</v>
      </c>
      <c r="D176" s="232"/>
      <c r="E176" s="234" t="s">
        <v>1</v>
      </c>
      <c r="F176" s="282">
        <v>2125</v>
      </c>
      <c r="G176" s="266" t="s">
        <v>832</v>
      </c>
    </row>
    <row r="177" spans="1:7" ht="12.75" customHeight="1" x14ac:dyDescent="0.3">
      <c r="A177" s="234"/>
      <c r="B177" s="234"/>
      <c r="C177" s="233" t="s">
        <v>961</v>
      </c>
      <c r="D177" s="232"/>
      <c r="E177" s="234"/>
      <c r="F177" s="282">
        <f>4*12500*4.5</f>
        <v>225000</v>
      </c>
      <c r="G177" s="266"/>
    </row>
    <row r="178" spans="1:7" ht="12.75" customHeight="1" x14ac:dyDescent="0.3">
      <c r="A178" s="234"/>
      <c r="B178" s="234"/>
      <c r="C178" s="233" t="s">
        <v>962</v>
      </c>
      <c r="D178" s="232"/>
      <c r="E178" s="234"/>
      <c r="F178" s="282">
        <f>55000/1.19</f>
        <v>46218.487394957985</v>
      </c>
      <c r="G178" s="266" t="s">
        <v>965</v>
      </c>
    </row>
    <row r="179" spans="1:7" ht="12.75" customHeight="1" x14ac:dyDescent="0.3">
      <c r="A179" s="234"/>
      <c r="B179" s="234"/>
      <c r="C179" s="233" t="s">
        <v>963</v>
      </c>
      <c r="D179" s="232"/>
      <c r="E179" s="234"/>
      <c r="F179" s="282">
        <v>135000</v>
      </c>
      <c r="G179" s="266" t="s">
        <v>966</v>
      </c>
    </row>
    <row r="180" spans="1:7" ht="12.75" customHeight="1" x14ac:dyDescent="0.3">
      <c r="A180" s="234"/>
      <c r="B180" s="234"/>
      <c r="C180" s="233" t="s">
        <v>964</v>
      </c>
      <c r="D180" s="232"/>
      <c r="E180" s="234"/>
      <c r="F180" s="282">
        <v>125000</v>
      </c>
      <c r="G180" s="266"/>
    </row>
    <row r="181" spans="1:7" ht="12.75" customHeight="1" x14ac:dyDescent="0.3">
      <c r="A181" s="234"/>
      <c r="B181" s="223"/>
      <c r="C181" s="237" t="s">
        <v>833</v>
      </c>
      <c r="D181" s="238"/>
      <c r="E181" s="238"/>
      <c r="F181" s="288"/>
      <c r="G181" s="268"/>
    </row>
    <row r="182" spans="1:7" ht="12.75" customHeight="1" x14ac:dyDescent="0.3">
      <c r="A182" s="234"/>
      <c r="B182" s="234"/>
      <c r="C182" s="233" t="s">
        <v>923</v>
      </c>
      <c r="D182" s="232"/>
      <c r="E182" s="234" t="s">
        <v>1</v>
      </c>
      <c r="F182" s="282">
        <v>189</v>
      </c>
      <c r="G182" s="266" t="s">
        <v>834</v>
      </c>
    </row>
    <row r="183" spans="1:7" ht="12.75" customHeight="1" x14ac:dyDescent="0.3">
      <c r="A183" s="234"/>
      <c r="B183" s="234"/>
      <c r="C183" s="233" t="s">
        <v>924</v>
      </c>
      <c r="D183" s="232"/>
      <c r="E183" s="234" t="s">
        <v>1</v>
      </c>
      <c r="F183" s="282">
        <v>362</v>
      </c>
      <c r="G183" s="266" t="s">
        <v>835</v>
      </c>
    </row>
    <row r="184" spans="1:7" ht="12.75" customHeight="1" x14ac:dyDescent="0.3">
      <c r="A184" s="234"/>
      <c r="B184" s="234"/>
      <c r="C184" s="233" t="s">
        <v>925</v>
      </c>
      <c r="D184" s="232"/>
      <c r="E184" s="234" t="s">
        <v>1</v>
      </c>
      <c r="F184" s="282">
        <v>785</v>
      </c>
      <c r="G184" s="266" t="s">
        <v>836</v>
      </c>
    </row>
    <row r="185" spans="1:7" ht="12.75" customHeight="1" x14ac:dyDescent="0.3">
      <c r="A185" s="234"/>
      <c r="B185" s="234"/>
      <c r="C185" s="233" t="s">
        <v>926</v>
      </c>
      <c r="D185" s="232"/>
      <c r="E185" s="234" t="s">
        <v>1</v>
      </c>
      <c r="F185" s="282">
        <v>1064</v>
      </c>
      <c r="G185" s="266" t="s">
        <v>837</v>
      </c>
    </row>
    <row r="186" spans="1:7" ht="12.75" customHeight="1" x14ac:dyDescent="0.3">
      <c r="A186" s="234"/>
      <c r="B186" s="234"/>
      <c r="C186" s="233" t="s">
        <v>927</v>
      </c>
      <c r="D186" s="232"/>
      <c r="E186" s="234" t="s">
        <v>1</v>
      </c>
      <c r="F186" s="282">
        <v>79</v>
      </c>
      <c r="G186" s="266" t="s">
        <v>838</v>
      </c>
    </row>
    <row r="187" spans="1:7" ht="12.75" customHeight="1" x14ac:dyDescent="0.3">
      <c r="A187" s="234"/>
      <c r="B187" s="234"/>
      <c r="C187" s="233" t="s">
        <v>928</v>
      </c>
      <c r="D187" s="232"/>
      <c r="E187" s="234" t="s">
        <v>1</v>
      </c>
      <c r="F187" s="282">
        <v>398</v>
      </c>
      <c r="G187" s="266" t="s">
        <v>839</v>
      </c>
    </row>
    <row r="188" spans="1:7" ht="12.75" customHeight="1" x14ac:dyDescent="0.3">
      <c r="A188" s="234"/>
      <c r="B188" s="234"/>
      <c r="C188" s="233" t="s">
        <v>929</v>
      </c>
      <c r="D188" s="232"/>
      <c r="E188" s="234" t="s">
        <v>1</v>
      </c>
      <c r="F188" s="282">
        <v>2320</v>
      </c>
      <c r="G188" s="266" t="s">
        <v>840</v>
      </c>
    </row>
    <row r="189" spans="1:7" ht="12.75" customHeight="1" x14ac:dyDescent="0.3">
      <c r="A189" s="234"/>
      <c r="B189" s="234"/>
      <c r="C189" s="233" t="s">
        <v>930</v>
      </c>
      <c r="D189" s="232"/>
      <c r="E189" s="234" t="s">
        <v>1</v>
      </c>
      <c r="F189" s="282">
        <v>389</v>
      </c>
      <c r="G189" s="266" t="s">
        <v>841</v>
      </c>
    </row>
    <row r="190" spans="1:7" ht="12.75" customHeight="1" x14ac:dyDescent="0.3">
      <c r="A190" s="234"/>
      <c r="B190" s="234"/>
      <c r="C190" s="233" t="s">
        <v>931</v>
      </c>
      <c r="D190" s="232"/>
      <c r="E190" s="234" t="s">
        <v>1</v>
      </c>
      <c r="F190" s="282">
        <v>284</v>
      </c>
      <c r="G190" s="266" t="s">
        <v>842</v>
      </c>
    </row>
    <row r="191" spans="1:7" ht="12.75" customHeight="1" x14ac:dyDescent="0.3">
      <c r="A191" s="234"/>
      <c r="B191" s="234"/>
      <c r="C191" s="233" t="s">
        <v>932</v>
      </c>
      <c r="D191" s="232"/>
      <c r="E191" s="234" t="s">
        <v>1</v>
      </c>
      <c r="F191" s="282">
        <v>325</v>
      </c>
      <c r="G191" s="266" t="s">
        <v>843</v>
      </c>
    </row>
    <row r="192" spans="1:7" ht="12.75" customHeight="1" x14ac:dyDescent="0.3">
      <c r="A192" s="234"/>
      <c r="B192" s="234"/>
      <c r="C192" s="233" t="s">
        <v>933</v>
      </c>
      <c r="D192" s="232"/>
      <c r="E192" s="234" t="s">
        <v>1</v>
      </c>
      <c r="F192" s="282">
        <v>296</v>
      </c>
      <c r="G192" s="266" t="s">
        <v>844</v>
      </c>
    </row>
    <row r="193" spans="1:7" ht="12.75" customHeight="1" x14ac:dyDescent="0.3">
      <c r="A193" s="234"/>
      <c r="B193" s="234"/>
      <c r="C193" s="233" t="s">
        <v>934</v>
      </c>
      <c r="D193" s="232"/>
      <c r="E193" s="234" t="s">
        <v>1</v>
      </c>
      <c r="F193" s="282">
        <v>426</v>
      </c>
      <c r="G193" s="266" t="s">
        <v>845</v>
      </c>
    </row>
    <row r="194" spans="1:7" ht="12.75" customHeight="1" x14ac:dyDescent="0.3">
      <c r="A194" s="234"/>
      <c r="B194" s="234"/>
      <c r="C194" s="233" t="s">
        <v>935</v>
      </c>
      <c r="D194" s="232"/>
      <c r="E194" s="234" t="s">
        <v>1</v>
      </c>
      <c r="F194" s="282">
        <v>818</v>
      </c>
      <c r="G194" s="266" t="s">
        <v>846</v>
      </c>
    </row>
    <row r="195" spans="1:7" ht="12.75" customHeight="1" x14ac:dyDescent="0.3">
      <c r="A195" s="234"/>
      <c r="B195" s="234"/>
      <c r="C195" s="233" t="s">
        <v>936</v>
      </c>
      <c r="D195" s="232"/>
      <c r="E195" s="234" t="s">
        <v>1</v>
      </c>
      <c r="F195" s="282">
        <v>1830</v>
      </c>
      <c r="G195" s="266" t="s">
        <v>847</v>
      </c>
    </row>
    <row r="196" spans="1:7" ht="12.75" customHeight="1" x14ac:dyDescent="0.3">
      <c r="A196" s="234"/>
      <c r="B196" s="234"/>
      <c r="C196" s="233" t="s">
        <v>937</v>
      </c>
      <c r="D196" s="232"/>
      <c r="E196" s="234" t="s">
        <v>1</v>
      </c>
      <c r="F196" s="282">
        <v>1615</v>
      </c>
      <c r="G196" s="266" t="s">
        <v>848</v>
      </c>
    </row>
    <row r="197" spans="1:7" ht="12.75" customHeight="1" x14ac:dyDescent="0.3">
      <c r="A197" s="234"/>
      <c r="B197" s="223"/>
      <c r="C197" s="237" t="s">
        <v>760</v>
      </c>
      <c r="D197" s="238"/>
      <c r="E197" s="238"/>
      <c r="F197" s="288"/>
      <c r="G197" s="268"/>
    </row>
    <row r="198" spans="1:7" ht="12.75" customHeight="1" x14ac:dyDescent="0.3">
      <c r="A198" s="234"/>
      <c r="B198" s="234"/>
      <c r="C198" s="233" t="s">
        <v>938</v>
      </c>
      <c r="D198" s="232"/>
      <c r="E198" s="234" t="s">
        <v>1</v>
      </c>
      <c r="F198" s="282">
        <v>720</v>
      </c>
      <c r="G198" s="266" t="s">
        <v>849</v>
      </c>
    </row>
    <row r="199" spans="1:7" ht="12.75" customHeight="1" x14ac:dyDescent="0.3">
      <c r="A199" s="234"/>
      <c r="B199" s="234"/>
      <c r="C199" s="233" t="s">
        <v>939</v>
      </c>
      <c r="D199" s="232"/>
      <c r="E199" s="234" t="s">
        <v>1</v>
      </c>
      <c r="F199" s="282">
        <v>874</v>
      </c>
      <c r="G199" s="266" t="s">
        <v>850</v>
      </c>
    </row>
    <row r="200" spans="1:7" ht="12.75" customHeight="1" x14ac:dyDescent="0.3">
      <c r="A200" s="234"/>
      <c r="B200" s="234"/>
      <c r="C200" s="233" t="s">
        <v>940</v>
      </c>
      <c r="D200" s="232"/>
      <c r="E200" s="234" t="s">
        <v>1</v>
      </c>
      <c r="F200" s="282">
        <v>190</v>
      </c>
      <c r="G200" s="266" t="s">
        <v>851</v>
      </c>
    </row>
    <row r="201" spans="1:7" ht="12.75" customHeight="1" x14ac:dyDescent="0.3">
      <c r="A201" s="234"/>
      <c r="B201" s="234"/>
      <c r="C201" s="233" t="s">
        <v>941</v>
      </c>
      <c r="D201" s="232"/>
      <c r="E201" s="234" t="s">
        <v>1</v>
      </c>
      <c r="F201" s="282">
        <v>820</v>
      </c>
      <c r="G201" s="266" t="s">
        <v>852</v>
      </c>
    </row>
    <row r="202" spans="1:7" ht="12.75" customHeight="1" x14ac:dyDescent="0.3">
      <c r="A202" s="234"/>
      <c r="B202" s="234"/>
      <c r="C202" s="233" t="s">
        <v>942</v>
      </c>
      <c r="D202" s="232"/>
      <c r="E202" s="234" t="s">
        <v>1</v>
      </c>
      <c r="F202" s="282">
        <v>915</v>
      </c>
      <c r="G202" s="266" t="s">
        <v>853</v>
      </c>
    </row>
    <row r="203" spans="1:7" ht="12.75" customHeight="1" x14ac:dyDescent="0.3">
      <c r="A203" s="234"/>
      <c r="B203" s="234"/>
      <c r="C203" s="233" t="s">
        <v>943</v>
      </c>
      <c r="D203" s="232"/>
      <c r="E203" s="234" t="s">
        <v>1</v>
      </c>
      <c r="F203" s="282">
        <v>315</v>
      </c>
      <c r="G203" s="266" t="s">
        <v>854</v>
      </c>
    </row>
    <row r="204" spans="1:7" ht="12.75" customHeight="1" x14ac:dyDescent="0.3">
      <c r="A204" s="234"/>
      <c r="B204" s="234"/>
      <c r="C204" s="233" t="s">
        <v>944</v>
      </c>
      <c r="D204" s="232"/>
      <c r="E204" s="234" t="s">
        <v>1</v>
      </c>
      <c r="F204" s="282">
        <v>844</v>
      </c>
      <c r="G204" s="266" t="s">
        <v>855</v>
      </c>
    </row>
    <row r="205" spans="1:7" ht="12.75" customHeight="1" x14ac:dyDescent="0.3">
      <c r="A205" s="234"/>
      <c r="B205" s="234"/>
      <c r="C205" s="233" t="s">
        <v>945</v>
      </c>
      <c r="D205" s="232"/>
      <c r="E205" s="234" t="s">
        <v>1</v>
      </c>
      <c r="F205" s="282">
        <v>1480</v>
      </c>
      <c r="G205" s="266" t="s">
        <v>856</v>
      </c>
    </row>
    <row r="206" spans="1:7" ht="12.75" customHeight="1" x14ac:dyDescent="0.3">
      <c r="A206" s="234"/>
      <c r="B206" s="234"/>
      <c r="C206" s="233" t="s">
        <v>946</v>
      </c>
      <c r="D206" s="232"/>
      <c r="E206" s="234" t="s">
        <v>1</v>
      </c>
      <c r="F206" s="282">
        <v>245</v>
      </c>
      <c r="G206" s="266" t="s">
        <v>857</v>
      </c>
    </row>
    <row r="207" spans="1:7" ht="12.75" customHeight="1" x14ac:dyDescent="0.3">
      <c r="A207" s="234"/>
      <c r="B207" s="234"/>
      <c r="C207" s="233" t="s">
        <v>947</v>
      </c>
      <c r="D207" s="232"/>
      <c r="E207" s="234" t="s">
        <v>859</v>
      </c>
      <c r="F207" s="282">
        <v>416</v>
      </c>
      <c r="G207" s="266" t="s">
        <v>858</v>
      </c>
    </row>
    <row r="208" spans="1:7" ht="12.75" customHeight="1" x14ac:dyDescent="0.3">
      <c r="A208" s="234"/>
      <c r="B208" s="234"/>
      <c r="C208" s="233" t="s">
        <v>948</v>
      </c>
      <c r="D208" s="232"/>
      <c r="E208" s="234" t="s">
        <v>859</v>
      </c>
      <c r="F208" s="282">
        <v>380</v>
      </c>
      <c r="G208" s="266" t="s">
        <v>860</v>
      </c>
    </row>
    <row r="209" spans="1:7" ht="12.75" customHeight="1" x14ac:dyDescent="0.3">
      <c r="A209" s="234"/>
      <c r="B209" s="234"/>
      <c r="C209" s="233" t="s">
        <v>949</v>
      </c>
      <c r="D209" s="232"/>
      <c r="E209" s="234" t="s">
        <v>859</v>
      </c>
      <c r="F209" s="282">
        <v>580</v>
      </c>
      <c r="G209" s="266" t="s">
        <v>861</v>
      </c>
    </row>
    <row r="210" spans="1:7" ht="12.75" customHeight="1" x14ac:dyDescent="0.3">
      <c r="A210" s="234"/>
      <c r="B210" s="234"/>
      <c r="C210" s="233" t="s">
        <v>950</v>
      </c>
      <c r="D210" s="232"/>
      <c r="E210" s="234" t="s">
        <v>1</v>
      </c>
      <c r="F210" s="282">
        <v>1830</v>
      </c>
      <c r="G210" s="266" t="s">
        <v>862</v>
      </c>
    </row>
    <row r="211" spans="1:7" ht="12.75" customHeight="1" x14ac:dyDescent="0.3">
      <c r="A211" s="234"/>
      <c r="B211" s="234"/>
      <c r="C211" s="233" t="s">
        <v>951</v>
      </c>
      <c r="D211" s="232"/>
      <c r="E211" s="234" t="s">
        <v>1</v>
      </c>
      <c r="F211" s="282">
        <v>550</v>
      </c>
      <c r="G211" s="266" t="s">
        <v>863</v>
      </c>
    </row>
    <row r="212" spans="1:7" ht="12.75" customHeight="1" x14ac:dyDescent="0.3">
      <c r="A212" s="234"/>
      <c r="B212" s="234"/>
      <c r="C212" s="233" t="s">
        <v>952</v>
      </c>
      <c r="D212" s="232"/>
      <c r="E212" s="234" t="s">
        <v>859</v>
      </c>
      <c r="F212" s="282">
        <v>820</v>
      </c>
      <c r="G212" s="266" t="s">
        <v>864</v>
      </c>
    </row>
    <row r="213" spans="1:7" ht="12.75" customHeight="1" x14ac:dyDescent="0.3">
      <c r="A213" s="234"/>
      <c r="B213" s="234"/>
      <c r="C213" s="233" t="s">
        <v>953</v>
      </c>
      <c r="D213" s="232"/>
      <c r="E213" s="234" t="s">
        <v>1</v>
      </c>
      <c r="F213" s="282">
        <v>115</v>
      </c>
      <c r="G213" s="266" t="s">
        <v>865</v>
      </c>
    </row>
    <row r="214" spans="1:7" ht="12.75" customHeight="1" x14ac:dyDescent="0.3">
      <c r="A214" s="258"/>
      <c r="B214" s="235"/>
      <c r="C214" s="233"/>
      <c r="D214" s="235"/>
      <c r="E214" s="235"/>
      <c r="F214" s="283"/>
      <c r="G214" s="235"/>
    </row>
    <row r="215" spans="1:7" ht="12.75" customHeight="1" x14ac:dyDescent="0.3">
      <c r="A215" s="243" t="s">
        <v>866</v>
      </c>
      <c r="B215" s="259"/>
      <c r="C215" s="246"/>
      <c r="D215" s="245"/>
      <c r="E215" s="290"/>
      <c r="F215" s="278"/>
      <c r="G215" s="245"/>
    </row>
    <row r="216" spans="1:7" ht="12.75" customHeight="1" x14ac:dyDescent="0.3">
      <c r="A216" s="234"/>
      <c r="B216" s="234"/>
      <c r="C216" s="233" t="s">
        <v>867</v>
      </c>
      <c r="D216" s="232"/>
      <c r="E216" s="234" t="s">
        <v>3</v>
      </c>
      <c r="F216" s="282">
        <v>1.2</v>
      </c>
      <c r="G216" s="266" t="s">
        <v>868</v>
      </c>
    </row>
    <row r="217" spans="1:7" ht="12.75" customHeight="1" x14ac:dyDescent="0.2">
      <c r="A217" s="234"/>
      <c r="B217" s="234"/>
      <c r="C217" s="233" t="s">
        <v>869</v>
      </c>
      <c r="D217" s="232"/>
      <c r="E217" s="234" t="s">
        <v>3</v>
      </c>
      <c r="F217" s="282">
        <v>41.5</v>
      </c>
      <c r="G217" s="266" t="s">
        <v>870</v>
      </c>
    </row>
    <row r="218" spans="1:7" ht="12.75" customHeight="1" x14ac:dyDescent="0.2">
      <c r="A218" s="234"/>
      <c r="B218" s="234"/>
      <c r="C218" s="233" t="s">
        <v>871</v>
      </c>
      <c r="D218" s="232"/>
      <c r="E218" s="234" t="s">
        <v>3</v>
      </c>
      <c r="F218" s="282">
        <v>53</v>
      </c>
      <c r="G218" s="266" t="s">
        <v>872</v>
      </c>
    </row>
    <row r="219" spans="1:7" ht="12.75" customHeight="1" x14ac:dyDescent="0.2">
      <c r="A219" s="234"/>
      <c r="B219" s="234"/>
      <c r="C219" s="233" t="s">
        <v>873</v>
      </c>
      <c r="D219" s="232"/>
      <c r="E219" s="234" t="s">
        <v>2</v>
      </c>
      <c r="F219" s="282">
        <v>84</v>
      </c>
      <c r="G219" s="266" t="s">
        <v>874</v>
      </c>
    </row>
    <row r="220" spans="1:7" ht="12.75" customHeight="1" x14ac:dyDescent="0.2">
      <c r="A220" s="234"/>
      <c r="B220" s="234"/>
      <c r="C220" s="233" t="s">
        <v>875</v>
      </c>
      <c r="D220" s="232"/>
      <c r="E220" s="234" t="s">
        <v>3</v>
      </c>
      <c r="F220" s="282">
        <v>72</v>
      </c>
      <c r="G220" s="266" t="s">
        <v>876</v>
      </c>
    </row>
    <row r="221" spans="1:7" ht="12.75" customHeight="1" x14ac:dyDescent="0.2">
      <c r="A221" s="234"/>
      <c r="B221" s="234"/>
      <c r="C221" s="233" t="s">
        <v>877</v>
      </c>
      <c r="D221" s="232"/>
      <c r="E221" s="234" t="s">
        <v>3</v>
      </c>
      <c r="F221" s="282">
        <v>9.9</v>
      </c>
      <c r="G221" s="266" t="s">
        <v>878</v>
      </c>
    </row>
    <row r="222" spans="1:7" ht="12.75" customHeight="1" x14ac:dyDescent="0.2">
      <c r="A222" s="234"/>
      <c r="B222" s="234"/>
      <c r="C222" s="233" t="s">
        <v>879</v>
      </c>
      <c r="D222" s="232"/>
      <c r="E222" s="234" t="s">
        <v>3</v>
      </c>
      <c r="F222" s="282">
        <v>95</v>
      </c>
      <c r="G222" s="266" t="s">
        <v>880</v>
      </c>
    </row>
    <row r="223" spans="1:7" ht="12.75" customHeight="1" x14ac:dyDescent="0.2">
      <c r="A223" s="234"/>
      <c r="B223" s="234"/>
      <c r="C223" s="233" t="s">
        <v>881</v>
      </c>
      <c r="D223" s="232"/>
      <c r="E223" s="234" t="s">
        <v>1</v>
      </c>
      <c r="F223" s="282">
        <v>112</v>
      </c>
      <c r="G223" s="266" t="s">
        <v>882</v>
      </c>
    </row>
    <row r="224" spans="1:7" ht="12.75" customHeight="1" x14ac:dyDescent="0.2">
      <c r="A224" s="234"/>
      <c r="B224" s="234"/>
      <c r="C224" s="233" t="s">
        <v>883</v>
      </c>
      <c r="D224" s="232"/>
      <c r="E224" s="234" t="s">
        <v>2</v>
      </c>
      <c r="F224" s="282">
        <v>214</v>
      </c>
      <c r="G224" s="266" t="s">
        <v>884</v>
      </c>
    </row>
    <row r="225" spans="1:7" ht="12.75" customHeight="1" x14ac:dyDescent="0.2">
      <c r="A225" s="234"/>
      <c r="B225" s="234"/>
      <c r="C225" s="233" t="s">
        <v>885</v>
      </c>
      <c r="D225" s="232"/>
      <c r="E225" s="234" t="s">
        <v>2</v>
      </c>
      <c r="F225" s="282">
        <v>98</v>
      </c>
      <c r="G225" s="266" t="s">
        <v>886</v>
      </c>
    </row>
    <row r="226" spans="1:7" ht="12.75" customHeight="1" x14ac:dyDescent="0.2">
      <c r="A226" s="234"/>
      <c r="B226" s="234"/>
      <c r="C226" s="233" t="s">
        <v>887</v>
      </c>
      <c r="D226" s="232"/>
      <c r="E226" s="234" t="s">
        <v>1</v>
      </c>
      <c r="F226" s="282">
        <v>4155</v>
      </c>
      <c r="G226" s="266" t="s">
        <v>888</v>
      </c>
    </row>
    <row r="227" spans="1:7" ht="12.75" customHeight="1" x14ac:dyDescent="0.2">
      <c r="A227" s="234"/>
      <c r="B227" s="234"/>
      <c r="C227" s="233" t="s">
        <v>889</v>
      </c>
      <c r="D227" s="232"/>
      <c r="E227" s="234" t="s">
        <v>2</v>
      </c>
      <c r="F227" s="282">
        <v>115</v>
      </c>
      <c r="G227" s="266" t="s">
        <v>890</v>
      </c>
    </row>
    <row r="228" spans="1:7" ht="12.75" customHeight="1" x14ac:dyDescent="0.2">
      <c r="A228" s="234"/>
      <c r="B228" s="234"/>
      <c r="C228" s="233" t="s">
        <v>891</v>
      </c>
      <c r="D228" s="232"/>
      <c r="E228" s="234" t="s">
        <v>2</v>
      </c>
      <c r="F228" s="282">
        <v>205</v>
      </c>
      <c r="G228" s="266" t="s">
        <v>892</v>
      </c>
    </row>
    <row r="229" spans="1:7" ht="12.75" customHeight="1" x14ac:dyDescent="0.2">
      <c r="A229" s="234"/>
      <c r="B229" s="234"/>
      <c r="C229" s="233" t="s">
        <v>893</v>
      </c>
      <c r="D229" s="232"/>
      <c r="E229" s="234" t="s">
        <v>1</v>
      </c>
      <c r="F229" s="282">
        <v>4225</v>
      </c>
      <c r="G229" s="266" t="s">
        <v>894</v>
      </c>
    </row>
    <row r="230" spans="1:7" ht="12.75" customHeight="1" x14ac:dyDescent="0.2">
      <c r="A230" s="234"/>
      <c r="B230" s="234"/>
      <c r="C230" s="233" t="s">
        <v>895</v>
      </c>
      <c r="D230" s="232"/>
      <c r="E230" s="234" t="s">
        <v>897</v>
      </c>
      <c r="F230" s="282">
        <v>600</v>
      </c>
      <c r="G230" s="266" t="s">
        <v>896</v>
      </c>
    </row>
    <row r="231" spans="1:7" ht="12.75" customHeight="1" x14ac:dyDescent="0.2">
      <c r="A231" s="234"/>
      <c r="B231" s="234"/>
      <c r="C231" s="233" t="s">
        <v>898</v>
      </c>
      <c r="D231" s="232"/>
      <c r="E231" s="234" t="s">
        <v>897</v>
      </c>
      <c r="F231" s="282">
        <v>400</v>
      </c>
      <c r="G231" s="266" t="s">
        <v>899</v>
      </c>
    </row>
    <row r="232" spans="1:7" ht="12.75" customHeight="1" x14ac:dyDescent="0.2">
      <c r="A232" s="234"/>
      <c r="B232" s="223"/>
      <c r="C232" s="237" t="s">
        <v>760</v>
      </c>
      <c r="D232" s="238"/>
      <c r="E232" s="238"/>
      <c r="F232" s="288"/>
      <c r="G232" s="268"/>
    </row>
    <row r="233" spans="1:7" ht="12.75" customHeight="1" x14ac:dyDescent="0.2">
      <c r="A233" s="234"/>
      <c r="B233" s="234"/>
      <c r="C233" s="233" t="s">
        <v>900</v>
      </c>
      <c r="D233" s="232"/>
      <c r="E233" s="234" t="s">
        <v>1</v>
      </c>
      <c r="F233" s="282">
        <v>615</v>
      </c>
      <c r="G233" s="266" t="s">
        <v>901</v>
      </c>
    </row>
    <row r="234" spans="1:7" ht="12.75" customHeight="1" x14ac:dyDescent="0.2">
      <c r="A234" s="234"/>
      <c r="B234" s="234"/>
      <c r="C234" s="233" t="s">
        <v>902</v>
      </c>
      <c r="D234" s="232"/>
      <c r="E234" s="234" t="s">
        <v>1</v>
      </c>
      <c r="F234" s="282">
        <v>320</v>
      </c>
      <c r="G234" s="266" t="s">
        <v>903</v>
      </c>
    </row>
    <row r="235" spans="1:7" ht="12.75" customHeight="1" x14ac:dyDescent="0.2">
      <c r="A235" s="234"/>
      <c r="B235" s="234"/>
      <c r="C235" s="233" t="s">
        <v>904</v>
      </c>
      <c r="D235" s="232"/>
      <c r="E235" s="234" t="s">
        <v>1</v>
      </c>
      <c r="F235" s="282">
        <v>615</v>
      </c>
      <c r="G235" s="266" t="s">
        <v>905</v>
      </c>
    </row>
    <row r="236" spans="1:7" ht="12.75" customHeight="1" x14ac:dyDescent="0.2">
      <c r="A236" s="234"/>
      <c r="B236" s="234"/>
      <c r="C236" s="233" t="s">
        <v>906</v>
      </c>
      <c r="D236" s="232"/>
      <c r="E236" s="234" t="s">
        <v>1</v>
      </c>
      <c r="F236" s="282">
        <v>5510</v>
      </c>
      <c r="G236" s="266" t="s">
        <v>907</v>
      </c>
    </row>
    <row r="237" spans="1:7" ht="12.75" customHeight="1" x14ac:dyDescent="0.2">
      <c r="A237" s="234"/>
      <c r="B237" s="234"/>
      <c r="C237" s="233" t="s">
        <v>908</v>
      </c>
      <c r="D237" s="232"/>
      <c r="E237" s="234" t="s">
        <v>1</v>
      </c>
      <c r="F237" s="282">
        <v>820</v>
      </c>
      <c r="G237" s="266" t="s">
        <v>909</v>
      </c>
    </row>
    <row r="238" spans="1:7" ht="12.75" customHeight="1" x14ac:dyDescent="0.2">
      <c r="C238" s="227"/>
      <c r="D238" s="226"/>
      <c r="F238" s="281"/>
      <c r="G238" s="226"/>
    </row>
    <row r="239" spans="1:7" ht="12.75" customHeight="1" x14ac:dyDescent="0.2">
      <c r="C239" s="227"/>
      <c r="D239" s="226"/>
      <c r="F239" s="281"/>
      <c r="G239" s="226"/>
    </row>
    <row r="240" spans="1:7" ht="12.75" customHeight="1" x14ac:dyDescent="0.2">
      <c r="C240" s="227"/>
      <c r="D240" s="226"/>
      <c r="F240" s="281"/>
      <c r="G240" s="226"/>
    </row>
    <row r="241" spans="1:7" ht="12.75" customHeight="1" x14ac:dyDescent="0.2">
      <c r="C241" s="227"/>
      <c r="D241" s="226"/>
      <c r="F241" s="281"/>
      <c r="G241" s="226"/>
    </row>
    <row r="242" spans="1:7" ht="12.75" customHeight="1" x14ac:dyDescent="0.2">
      <c r="C242" s="227"/>
      <c r="D242" s="226"/>
      <c r="F242" s="281"/>
      <c r="G242" s="226"/>
    </row>
    <row r="243" spans="1:7" ht="12.75" customHeight="1" x14ac:dyDescent="0.2">
      <c r="C243" s="227"/>
      <c r="D243" s="226"/>
      <c r="F243" s="281"/>
      <c r="G243" s="226"/>
    </row>
    <row r="244" spans="1:7" ht="12.75" customHeight="1" x14ac:dyDescent="0.2">
      <c r="C244" s="227"/>
      <c r="D244" s="226"/>
      <c r="F244" s="281"/>
      <c r="G244" s="226"/>
    </row>
    <row r="245" spans="1:7" ht="12.75" customHeight="1" x14ac:dyDescent="0.2">
      <c r="A245" s="226"/>
      <c r="C245" s="226"/>
      <c r="D245" s="226"/>
      <c r="F245" s="281"/>
      <c r="G245" s="226"/>
    </row>
    <row r="246" spans="1:7" ht="12.75" customHeight="1" x14ac:dyDescent="0.2">
      <c r="A246" s="226"/>
      <c r="C246" s="226"/>
      <c r="D246" s="226"/>
      <c r="F246" s="281"/>
      <c r="G246" s="226"/>
    </row>
  </sheetData>
  <autoFilter ref="A1:G237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7030A0"/>
  </sheetPr>
  <dimension ref="A1:M466"/>
  <sheetViews>
    <sheetView topLeftCell="A79" workbookViewId="0">
      <selection activeCell="R6" sqref="R6"/>
    </sheetView>
  </sheetViews>
  <sheetFormatPr defaultRowHeight="15" x14ac:dyDescent="0.25"/>
  <cols>
    <col min="3" max="3" width="6.5703125" style="19" customWidth="1"/>
    <col min="4" max="4" width="8.42578125" style="19" customWidth="1"/>
    <col min="5" max="5" width="6.85546875" style="20" customWidth="1"/>
    <col min="6" max="6" width="52.42578125" style="21" customWidth="1"/>
    <col min="7" max="7" width="10.28515625" style="330" customWidth="1"/>
    <col min="8" max="8" width="6.5703125" style="331" customWidth="1"/>
    <col min="9" max="9" width="6.28515625" customWidth="1"/>
    <col min="10" max="10" width="8.28515625" style="22" customWidth="1"/>
    <col min="11" max="11" width="12.5703125" style="332" customWidth="1"/>
    <col min="12" max="12" width="14" style="332" customWidth="1"/>
  </cols>
  <sheetData>
    <row r="1" spans="1:13" s="327" customFormat="1" ht="33" customHeight="1" x14ac:dyDescent="0.3">
      <c r="A1" s="325" t="s">
        <v>84</v>
      </c>
      <c r="B1" s="325" t="s">
        <v>1049</v>
      </c>
      <c r="C1" s="325" t="s">
        <v>85</v>
      </c>
      <c r="D1" s="325" t="s">
        <v>1050</v>
      </c>
      <c r="E1" s="325" t="s">
        <v>86</v>
      </c>
      <c r="F1" s="325" t="s">
        <v>87</v>
      </c>
      <c r="G1" s="325" t="s">
        <v>0</v>
      </c>
      <c r="H1" s="325" t="s">
        <v>7</v>
      </c>
      <c r="I1" s="325" t="s">
        <v>1051</v>
      </c>
      <c r="J1" s="325" t="s">
        <v>88</v>
      </c>
      <c r="K1" s="326" t="s">
        <v>1052</v>
      </c>
      <c r="L1" s="325" t="s">
        <v>1053</v>
      </c>
    </row>
    <row r="2" spans="1:13" ht="17.45" x14ac:dyDescent="0.55000000000000004">
      <c r="A2" s="328" t="s">
        <v>13</v>
      </c>
      <c r="B2" s="329" t="s">
        <v>1054</v>
      </c>
      <c r="L2" s="333" t="e">
        <f>L3+L47+L49</f>
        <v>#REF!</v>
      </c>
      <c r="M2" s="334">
        <v>1.1000000000000001</v>
      </c>
    </row>
    <row r="3" spans="1:13" ht="14.45" x14ac:dyDescent="0.3">
      <c r="C3" s="335" t="s">
        <v>89</v>
      </c>
      <c r="L3" s="336" t="e">
        <f>L4+L7+L14+L17+L21+L24+L34+#REF!+L44</f>
        <v>#REF!</v>
      </c>
    </row>
    <row r="4" spans="1:13" ht="14.45" x14ac:dyDescent="0.3">
      <c r="D4" s="335" t="s">
        <v>90</v>
      </c>
      <c r="L4" s="332">
        <f>SUM(L5:L6)</f>
        <v>0</v>
      </c>
    </row>
    <row r="5" spans="1:13" ht="14.45" x14ac:dyDescent="0.3">
      <c r="E5" s="19" t="str">
        <f>VLOOKUP(F5,'preturi-TeCoIz'!$C$4:$F$5495,2,FALSE)</f>
        <v>RPCR08B#</v>
      </c>
      <c r="F5" s="337" t="s">
        <v>128</v>
      </c>
      <c r="G5" s="330">
        <v>0</v>
      </c>
      <c r="H5" s="338" t="str">
        <f>VLOOKUP(F5,'preturi-TeCoIz'!$C$4:$F$5495,3,FALSE)</f>
        <v>mp</v>
      </c>
      <c r="K5" s="339">
        <f>VLOOKUP(F5,'preturi-TeCoIz'!$C$4:$F$5495,4,FALSE)</f>
        <v>7.5</v>
      </c>
      <c r="L5" s="332">
        <f>G5*K5</f>
        <v>0</v>
      </c>
    </row>
    <row r="6" spans="1:13" ht="14.45" x14ac:dyDescent="0.3">
      <c r="E6" s="19" t="str">
        <f>VLOOKUP(F6,'preturi-TeCoIz'!$C$4:$F$5495,2,FALSE)</f>
        <v>#</v>
      </c>
      <c r="F6" s="337" t="s">
        <v>1034</v>
      </c>
      <c r="G6" s="330">
        <v>0</v>
      </c>
      <c r="H6" s="338" t="str">
        <f>VLOOKUP(F6,'preturi-TeCoIz'!$C$4:$F$5495,3,FALSE)</f>
        <v>#</v>
      </c>
      <c r="K6" s="339">
        <f>VLOOKUP(F6,'preturi-TeCoIz'!$C$4:$F$5495,4,FALSE)</f>
        <v>0</v>
      </c>
      <c r="L6" s="332">
        <f>G6*K6</f>
        <v>0</v>
      </c>
    </row>
    <row r="7" spans="1:13" ht="14.45" x14ac:dyDescent="0.3">
      <c r="D7" s="335" t="s">
        <v>91</v>
      </c>
      <c r="L7" s="340">
        <f>L8+L11</f>
        <v>0</v>
      </c>
    </row>
    <row r="8" spans="1:13" ht="14.45" x14ac:dyDescent="0.3">
      <c r="E8" s="22" t="s">
        <v>421</v>
      </c>
      <c r="L8" s="340">
        <f>SUM(L9:L10)</f>
        <v>0</v>
      </c>
    </row>
    <row r="9" spans="1:13" ht="14.45" x14ac:dyDescent="0.3">
      <c r="E9" s="19" t="str">
        <f>VLOOKUP(F9,'preturi-TeCoIz'!$C$4:$F$5495,2,FALSE)</f>
        <v>#</v>
      </c>
      <c r="F9" s="337" t="s">
        <v>1034</v>
      </c>
      <c r="G9" s="330">
        <v>0</v>
      </c>
      <c r="H9" s="338" t="str">
        <f>VLOOKUP(F9,'preturi-TeCoIz'!$C$4:$F$5495,3,FALSE)</f>
        <v>#</v>
      </c>
      <c r="K9" s="339">
        <f>VLOOKUP(F9,'preturi-TeCoIz'!$C$4:$F$5495,4,FALSE)</f>
        <v>0</v>
      </c>
      <c r="L9" s="332">
        <f>G9*K9</f>
        <v>0</v>
      </c>
    </row>
    <row r="10" spans="1:13" ht="14.45" x14ac:dyDescent="0.3">
      <c r="E10" s="19" t="str">
        <f>VLOOKUP(F10,'preturi-TeCoIz'!$C$4:$F$5495,2,FALSE)</f>
        <v>#</v>
      </c>
      <c r="F10" s="337" t="s">
        <v>1034</v>
      </c>
      <c r="G10" s="330">
        <v>0</v>
      </c>
      <c r="H10" s="338" t="str">
        <f>VLOOKUP(F10,'preturi-TeCoIz'!$C$4:$F$5495,3,FALSE)</f>
        <v>#</v>
      </c>
      <c r="K10" s="339">
        <f>VLOOKUP(F10,'preturi-TeCoIz'!$C$4:$F$5495,4,FALSE)</f>
        <v>0</v>
      </c>
      <c r="L10" s="332">
        <f>G10*K10</f>
        <v>0</v>
      </c>
    </row>
    <row r="11" spans="1:13" ht="14.45" x14ac:dyDescent="0.3">
      <c r="E11" s="22" t="s">
        <v>422</v>
      </c>
      <c r="F11" s="19"/>
      <c r="H11" s="338"/>
      <c r="K11" s="339"/>
      <c r="L11" s="332">
        <f>SUM(L12:L13)</f>
        <v>0</v>
      </c>
    </row>
    <row r="12" spans="1:13" ht="14.45" x14ac:dyDescent="0.3">
      <c r="E12" s="19" t="str">
        <f>VLOOKUP(F12,'preturi-TeCoIz'!$C$4:$F$5495,2,FALSE)</f>
        <v>#</v>
      </c>
      <c r="F12" s="337" t="s">
        <v>1034</v>
      </c>
      <c r="G12" s="330">
        <v>0</v>
      </c>
      <c r="H12" s="338" t="str">
        <f>VLOOKUP(F12,'preturi-TeCoIz'!$C$4:$F$5495,3,FALSE)</f>
        <v>#</v>
      </c>
      <c r="K12" s="339">
        <f>VLOOKUP(F12,'preturi-TeCoIz'!$C$4:$F$5495,4,FALSE)</f>
        <v>0</v>
      </c>
      <c r="L12" s="332">
        <f>G12*K12</f>
        <v>0</v>
      </c>
    </row>
    <row r="13" spans="1:13" ht="14.45" x14ac:dyDescent="0.3">
      <c r="E13" s="19" t="str">
        <f>VLOOKUP(F13,'preturi-TeCoIz'!$C$4:$F$5495,2,FALSE)</f>
        <v>#</v>
      </c>
      <c r="F13" s="337" t="s">
        <v>1034</v>
      </c>
      <c r="G13" s="330">
        <v>0</v>
      </c>
      <c r="H13" s="338" t="str">
        <f>VLOOKUP(F13,'preturi-TeCoIz'!$C$4:$F$5495,3,FALSE)</f>
        <v>#</v>
      </c>
      <c r="K13" s="339">
        <f>VLOOKUP(F13,'preturi-TeCoIz'!$C$4:$F$5495,4,FALSE)</f>
        <v>0</v>
      </c>
      <c r="L13" s="332">
        <f>G13*K13</f>
        <v>0</v>
      </c>
    </row>
    <row r="14" spans="1:13" ht="14.45" x14ac:dyDescent="0.3">
      <c r="D14" s="335" t="s">
        <v>99</v>
      </c>
      <c r="K14" s="339"/>
      <c r="L14" s="340">
        <f>SUM(L15:L16)</f>
        <v>0</v>
      </c>
    </row>
    <row r="15" spans="1:13" ht="14.45" x14ac:dyDescent="0.3">
      <c r="E15" s="19" t="str">
        <f>VLOOKUP(F15,'preturi-TeCoIz'!$C$4:$F$5495,2,FALSE)</f>
        <v>#</v>
      </c>
      <c r="F15" s="337" t="s">
        <v>1034</v>
      </c>
      <c r="G15" s="330">
        <v>0</v>
      </c>
      <c r="H15" s="338" t="str">
        <f>VLOOKUP(F15,'preturi-TeCoIz'!$C$4:$F$5495,3,FALSE)</f>
        <v>#</v>
      </c>
      <c r="K15" s="339">
        <f>VLOOKUP(F15,'preturi-TeCoIz'!$C$4:$F$5495,4,FALSE)</f>
        <v>0</v>
      </c>
      <c r="L15" s="332">
        <f>G15*K15</f>
        <v>0</v>
      </c>
    </row>
    <row r="16" spans="1:13" ht="14.45" x14ac:dyDescent="0.3">
      <c r="E16" s="19" t="str">
        <f>VLOOKUP(F16,'preturi-TeCoIz'!$C$4:$F$5495,2,FALSE)</f>
        <v>#</v>
      </c>
      <c r="F16" s="337" t="s">
        <v>1034</v>
      </c>
      <c r="G16" s="330">
        <v>0</v>
      </c>
      <c r="H16" s="338" t="str">
        <f>VLOOKUP(F16,'preturi-TeCoIz'!$C$4:$F$5495,3,FALSE)</f>
        <v>#</v>
      </c>
      <c r="K16" s="339">
        <f>VLOOKUP(F16,'preturi-TeCoIz'!$C$4:$F$5495,4,FALSE)</f>
        <v>0</v>
      </c>
      <c r="L16" s="332">
        <f>G16*K16</f>
        <v>0</v>
      </c>
    </row>
    <row r="17" spans="4:11" ht="14.45" x14ac:dyDescent="0.3">
      <c r="D17" s="335" t="s">
        <v>420</v>
      </c>
      <c r="K17" s="339"/>
    </row>
    <row r="18" spans="4:11" ht="14.45" x14ac:dyDescent="0.3">
      <c r="E18" s="22" t="s">
        <v>1055</v>
      </c>
      <c r="K18" s="339"/>
    </row>
    <row r="19" spans="4:11" ht="14.45" x14ac:dyDescent="0.3">
      <c r="E19" s="22"/>
      <c r="K19" s="339"/>
    </row>
    <row r="20" spans="4:11" ht="14.45" x14ac:dyDescent="0.3">
      <c r="E20" s="22"/>
      <c r="F20" s="21">
        <v>0</v>
      </c>
      <c r="K20" s="339"/>
    </row>
    <row r="21" spans="4:11" ht="14.45" x14ac:dyDescent="0.3">
      <c r="E21" s="22" t="s">
        <v>1056</v>
      </c>
      <c r="K21" s="339"/>
    </row>
    <row r="22" spans="4:11" ht="14.45" x14ac:dyDescent="0.3">
      <c r="E22" s="22"/>
      <c r="K22" s="339"/>
    </row>
    <row r="23" spans="4:11" ht="14.45" x14ac:dyDescent="0.3">
      <c r="E23" s="22"/>
      <c r="K23" s="339"/>
    </row>
    <row r="24" spans="4:11" ht="14.45" x14ac:dyDescent="0.3">
      <c r="D24" s="335" t="s">
        <v>106</v>
      </c>
      <c r="K24" s="339"/>
    </row>
    <row r="25" spans="4:11" ht="14.45" x14ac:dyDescent="0.3">
      <c r="D25" s="335"/>
      <c r="E25" s="22" t="s">
        <v>1057</v>
      </c>
      <c r="K25" s="339"/>
    </row>
    <row r="26" spans="4:11" ht="14.45" x14ac:dyDescent="0.3">
      <c r="D26" s="335"/>
      <c r="E26" s="22"/>
      <c r="K26" s="339"/>
    </row>
    <row r="27" spans="4:11" ht="14.45" x14ac:dyDescent="0.3">
      <c r="D27" s="335"/>
      <c r="E27" s="22"/>
      <c r="K27" s="339"/>
    </row>
    <row r="28" spans="4:11" ht="14.45" x14ac:dyDescent="0.3">
      <c r="D28" s="335"/>
      <c r="E28" s="22" t="s">
        <v>1058</v>
      </c>
      <c r="K28" s="339"/>
    </row>
    <row r="29" spans="4:11" ht="14.45" x14ac:dyDescent="0.3">
      <c r="D29" s="335"/>
      <c r="E29" s="22"/>
      <c r="K29" s="339"/>
    </row>
    <row r="30" spans="4:11" ht="14.45" x14ac:dyDescent="0.3">
      <c r="D30" s="335"/>
      <c r="E30" s="22"/>
      <c r="K30" s="339"/>
    </row>
    <row r="31" spans="4:11" ht="14.45" x14ac:dyDescent="0.3">
      <c r="D31" s="335"/>
      <c r="E31" s="22" t="s">
        <v>1059</v>
      </c>
      <c r="K31" s="339"/>
    </row>
    <row r="32" spans="4:11" ht="14.45" x14ac:dyDescent="0.3">
      <c r="D32" s="335"/>
      <c r="E32" s="22"/>
      <c r="K32" s="339"/>
    </row>
    <row r="33" spans="3:12" ht="14.45" x14ac:dyDescent="0.3">
      <c r="D33" s="335"/>
      <c r="E33" s="22"/>
      <c r="K33" s="339"/>
    </row>
    <row r="34" spans="3:12" ht="14.45" x14ac:dyDescent="0.3">
      <c r="D34" s="335" t="s">
        <v>1060</v>
      </c>
      <c r="K34" s="339"/>
    </row>
    <row r="35" spans="3:12" ht="14.45" x14ac:dyDescent="0.3">
      <c r="D35" s="335"/>
      <c r="E35" s="22" t="s">
        <v>990</v>
      </c>
      <c r="K35" s="339"/>
    </row>
    <row r="36" spans="3:12" ht="14.45" x14ac:dyDescent="0.3">
      <c r="D36" s="335"/>
      <c r="E36" s="22"/>
      <c r="K36" s="339"/>
    </row>
    <row r="37" spans="3:12" ht="14.45" x14ac:dyDescent="0.3">
      <c r="D37" s="335"/>
      <c r="E37" s="22"/>
      <c r="K37" s="339"/>
    </row>
    <row r="38" spans="3:12" ht="14.45" x14ac:dyDescent="0.3">
      <c r="D38" s="335"/>
      <c r="E38" s="22" t="s">
        <v>1061</v>
      </c>
      <c r="K38" s="339"/>
    </row>
    <row r="39" spans="3:12" ht="14.45" x14ac:dyDescent="0.3">
      <c r="D39" s="335"/>
      <c r="E39" s="22"/>
      <c r="K39" s="339"/>
    </row>
    <row r="40" spans="3:12" ht="14.45" x14ac:dyDescent="0.3">
      <c r="D40" s="335"/>
      <c r="E40" s="22"/>
      <c r="K40" s="339"/>
    </row>
    <row r="41" spans="3:12" ht="14.45" x14ac:dyDescent="0.3">
      <c r="D41" s="335"/>
      <c r="E41" s="22" t="s">
        <v>1062</v>
      </c>
      <c r="K41" s="339"/>
    </row>
    <row r="42" spans="3:12" ht="14.45" x14ac:dyDescent="0.3">
      <c r="D42" s="335"/>
      <c r="E42" s="22"/>
      <c r="K42" s="339"/>
    </row>
    <row r="43" spans="3:12" ht="14.45" x14ac:dyDescent="0.3">
      <c r="D43" s="335"/>
      <c r="E43" s="22"/>
      <c r="K43" s="339"/>
    </row>
    <row r="44" spans="3:12" ht="14.45" x14ac:dyDescent="0.3">
      <c r="D44" s="19" t="s">
        <v>109</v>
      </c>
      <c r="K44" s="339"/>
    </row>
    <row r="45" spans="3:12" ht="14.45" x14ac:dyDescent="0.3">
      <c r="K45" s="339"/>
    </row>
    <row r="46" spans="3:12" ht="14.45" x14ac:dyDescent="0.3">
      <c r="K46" s="339"/>
    </row>
    <row r="47" spans="3:12" ht="14.45" x14ac:dyDescent="0.3">
      <c r="C47" s="335" t="s">
        <v>110</v>
      </c>
      <c r="K47" s="339"/>
      <c r="L47" s="336"/>
    </row>
    <row r="48" spans="3:12" ht="14.45" x14ac:dyDescent="0.3">
      <c r="C48" s="335"/>
      <c r="E48" s="22" t="s">
        <v>1063</v>
      </c>
      <c r="K48" s="339"/>
      <c r="L48" s="336"/>
    </row>
    <row r="49" spans="1:12" ht="14.45" x14ac:dyDescent="0.3">
      <c r="C49" s="335" t="s">
        <v>111</v>
      </c>
      <c r="K49" s="339"/>
      <c r="L49" s="336"/>
    </row>
    <row r="50" spans="1:12" ht="14.45" x14ac:dyDescent="0.3">
      <c r="C50" s="335"/>
      <c r="E50" s="22" t="s">
        <v>514</v>
      </c>
      <c r="K50" s="339"/>
      <c r="L50" s="336"/>
    </row>
    <row r="51" spans="1:12" ht="14.45" x14ac:dyDescent="0.3">
      <c r="C51" s="335"/>
      <c r="E51" s="22" t="s">
        <v>515</v>
      </c>
      <c r="K51" s="339"/>
      <c r="L51" s="336"/>
    </row>
    <row r="52" spans="1:12" ht="14.45" x14ac:dyDescent="0.3">
      <c r="C52" s="335"/>
      <c r="E52" s="22" t="s">
        <v>516</v>
      </c>
      <c r="K52" s="339"/>
      <c r="L52" s="336"/>
    </row>
    <row r="53" spans="1:12" ht="14.45" x14ac:dyDescent="0.3">
      <c r="K53" s="339"/>
    </row>
    <row r="54" spans="1:12" ht="17.45" x14ac:dyDescent="0.55000000000000004">
      <c r="A54" s="341" t="s">
        <v>76</v>
      </c>
      <c r="B54" s="342" t="s">
        <v>1064</v>
      </c>
      <c r="K54" s="339"/>
      <c r="L54" s="333" t="e">
        <f>L55+L219+L220</f>
        <v>#REF!</v>
      </c>
    </row>
    <row r="55" spans="1:12" ht="14.45" x14ac:dyDescent="0.3">
      <c r="C55" s="335" t="s">
        <v>89</v>
      </c>
      <c r="K55" s="339"/>
      <c r="L55" s="336" t="e">
        <f>L56+L57+L58+L59+L119+L120+L201+L217+L218</f>
        <v>#REF!</v>
      </c>
    </row>
    <row r="56" spans="1:12" ht="14.45" x14ac:dyDescent="0.3">
      <c r="C56" s="335"/>
      <c r="D56" s="19" t="s">
        <v>90</v>
      </c>
      <c r="K56" s="339"/>
      <c r="L56" s="332">
        <v>0</v>
      </c>
    </row>
    <row r="57" spans="1:12" ht="14.45" x14ac:dyDescent="0.3">
      <c r="C57" s="335"/>
      <c r="D57" s="19" t="s">
        <v>91</v>
      </c>
      <c r="K57" s="339"/>
      <c r="L57" s="340" t="e">
        <f>SUM(#REF!)</f>
        <v>#REF!</v>
      </c>
    </row>
    <row r="58" spans="1:12" ht="14.45" x14ac:dyDescent="0.3">
      <c r="D58" s="24" t="s">
        <v>99</v>
      </c>
      <c r="K58" s="339"/>
      <c r="L58" s="332">
        <v>0</v>
      </c>
    </row>
    <row r="59" spans="1:12" ht="14.45" x14ac:dyDescent="0.3">
      <c r="D59" s="19" t="s">
        <v>104</v>
      </c>
      <c r="K59" s="339"/>
      <c r="L59" s="332">
        <f>SUM(L60:L118)</f>
        <v>229808.94050000003</v>
      </c>
    </row>
    <row r="60" spans="1:12" ht="14.45" x14ac:dyDescent="0.3">
      <c r="E60" s="343" t="s">
        <v>151</v>
      </c>
      <c r="F60" s="19"/>
      <c r="K60" s="339"/>
    </row>
    <row r="61" spans="1:12" ht="14.45" x14ac:dyDescent="0.3">
      <c r="E61" s="343"/>
      <c r="F61" s="19" t="s">
        <v>1065</v>
      </c>
      <c r="G61" s="330">
        <f>G63*0.9*0.6</f>
        <v>54</v>
      </c>
      <c r="H61" s="338" t="s">
        <v>4</v>
      </c>
      <c r="J61" s="22" t="s">
        <v>1066</v>
      </c>
      <c r="K61" s="339">
        <v>42.7</v>
      </c>
      <c r="L61" s="332">
        <f t="shared" ref="L61:L66" si="0">G61*K61</f>
        <v>2305.8000000000002</v>
      </c>
    </row>
    <row r="62" spans="1:12" ht="14.45" x14ac:dyDescent="0.3">
      <c r="E62" s="343"/>
      <c r="F62" s="19" t="s">
        <v>1067</v>
      </c>
      <c r="G62" s="330">
        <f>0.1*G63*0.6</f>
        <v>6</v>
      </c>
      <c r="H62" s="338" t="s">
        <v>4</v>
      </c>
      <c r="J62" s="22" t="s">
        <v>152</v>
      </c>
      <c r="K62" s="339">
        <v>16.36</v>
      </c>
      <c r="L62" s="332">
        <f t="shared" si="0"/>
        <v>98.16</v>
      </c>
    </row>
    <row r="63" spans="1:12" ht="14.45" x14ac:dyDescent="0.3">
      <c r="E63" s="343"/>
      <c r="F63" s="19" t="s">
        <v>1068</v>
      </c>
      <c r="G63" s="330">
        <v>100</v>
      </c>
      <c r="H63" s="338" t="s">
        <v>75</v>
      </c>
      <c r="J63" s="22" t="s">
        <v>153</v>
      </c>
      <c r="K63" s="339">
        <v>93.98</v>
      </c>
      <c r="L63" s="332">
        <f t="shared" si="0"/>
        <v>9398</v>
      </c>
    </row>
    <row r="64" spans="1:12" ht="14.45" x14ac:dyDescent="0.3">
      <c r="E64" s="343"/>
      <c r="F64" s="19" t="s">
        <v>154</v>
      </c>
      <c r="G64" s="330">
        <f>G65</f>
        <v>48</v>
      </c>
      <c r="H64" s="338" t="s">
        <v>4</v>
      </c>
      <c r="J64" s="22" t="s">
        <v>155</v>
      </c>
      <c r="K64" s="339">
        <v>3.28</v>
      </c>
      <c r="L64" s="332">
        <f t="shared" si="0"/>
        <v>157.44</v>
      </c>
    </row>
    <row r="65" spans="5:12" ht="14.45" x14ac:dyDescent="0.3">
      <c r="E65" s="343"/>
      <c r="F65" s="19" t="s">
        <v>1069</v>
      </c>
      <c r="G65" s="330">
        <f>G61-G62</f>
        <v>48</v>
      </c>
      <c r="H65" s="338" t="s">
        <v>4</v>
      </c>
      <c r="J65" s="22" t="s">
        <v>156</v>
      </c>
      <c r="K65" s="339">
        <v>7.38</v>
      </c>
      <c r="L65" s="332">
        <f t="shared" si="0"/>
        <v>354.24</v>
      </c>
    </row>
    <row r="66" spans="5:12" ht="14.45" x14ac:dyDescent="0.3">
      <c r="E66" s="343"/>
      <c r="F66" s="19" t="s">
        <v>1070</v>
      </c>
      <c r="G66" s="344">
        <v>1</v>
      </c>
      <c r="H66" s="338" t="s">
        <v>8</v>
      </c>
      <c r="K66" s="339">
        <v>25</v>
      </c>
      <c r="L66" s="332">
        <f t="shared" si="0"/>
        <v>25</v>
      </c>
    </row>
    <row r="67" spans="5:12" ht="14.45" x14ac:dyDescent="0.3">
      <c r="E67" s="343" t="s">
        <v>157</v>
      </c>
      <c r="G67" s="344"/>
      <c r="K67" s="339"/>
    </row>
    <row r="68" spans="5:12" ht="14.45" x14ac:dyDescent="0.3">
      <c r="F68" s="19"/>
      <c r="G68" s="344"/>
      <c r="H68" s="338"/>
      <c r="K68" s="339"/>
    </row>
    <row r="69" spans="5:12" ht="14.45" x14ac:dyDescent="0.3">
      <c r="F69" s="19"/>
      <c r="G69" s="344"/>
      <c r="H69" s="338"/>
      <c r="K69" s="339"/>
    </row>
    <row r="70" spans="5:12" ht="14.45" x14ac:dyDescent="0.3">
      <c r="F70" s="19" t="s">
        <v>1071</v>
      </c>
      <c r="G70" s="344">
        <v>100</v>
      </c>
      <c r="H70" s="338" t="s">
        <v>75</v>
      </c>
      <c r="J70" s="22" t="s">
        <v>152</v>
      </c>
      <c r="K70" s="339">
        <v>68.03</v>
      </c>
      <c r="L70" s="332">
        <f t="shared" ref="L70:L90" si="1">G70*K70</f>
        <v>6803</v>
      </c>
    </row>
    <row r="71" spans="5:12" ht="14.45" x14ac:dyDescent="0.3">
      <c r="F71" s="19" t="s">
        <v>154</v>
      </c>
      <c r="G71" s="344">
        <f>G72</f>
        <v>0</v>
      </c>
      <c r="H71" s="338" t="s">
        <v>4</v>
      </c>
      <c r="J71" s="22" t="s">
        <v>155</v>
      </c>
      <c r="K71" s="339">
        <v>3.28</v>
      </c>
      <c r="L71" s="332">
        <f t="shared" si="1"/>
        <v>0</v>
      </c>
    </row>
    <row r="72" spans="5:12" ht="14.45" x14ac:dyDescent="0.3">
      <c r="F72" s="19" t="s">
        <v>1069</v>
      </c>
      <c r="G72" s="344">
        <f>G68-G69</f>
        <v>0</v>
      </c>
      <c r="H72" s="338" t="s">
        <v>4</v>
      </c>
      <c r="J72" s="22" t="s">
        <v>156</v>
      </c>
      <c r="K72" s="339">
        <v>7.38</v>
      </c>
      <c r="L72" s="332">
        <f t="shared" si="1"/>
        <v>0</v>
      </c>
    </row>
    <row r="73" spans="5:12" ht="14.45" x14ac:dyDescent="0.3">
      <c r="F73" s="19" t="s">
        <v>158</v>
      </c>
      <c r="G73" s="344">
        <v>15</v>
      </c>
      <c r="H73" s="338" t="s">
        <v>75</v>
      </c>
      <c r="J73" s="22" t="s">
        <v>159</v>
      </c>
      <c r="K73" s="339">
        <v>5.5</v>
      </c>
      <c r="L73" s="332">
        <f t="shared" si="1"/>
        <v>82.5</v>
      </c>
    </row>
    <row r="74" spans="5:12" ht="14.45" x14ac:dyDescent="0.3">
      <c r="F74" s="19" t="s">
        <v>1070</v>
      </c>
      <c r="G74" s="344">
        <v>1</v>
      </c>
      <c r="H74" s="338" t="s">
        <v>8</v>
      </c>
      <c r="K74" s="339">
        <v>25</v>
      </c>
      <c r="L74" s="332">
        <f t="shared" si="1"/>
        <v>25</v>
      </c>
    </row>
    <row r="75" spans="5:12" ht="14.45" x14ac:dyDescent="0.3">
      <c r="E75" s="343" t="s">
        <v>160</v>
      </c>
      <c r="F75" s="19"/>
      <c r="G75" s="344"/>
      <c r="H75" s="338"/>
      <c r="K75" s="339"/>
    </row>
    <row r="76" spans="5:12" ht="14.45" x14ac:dyDescent="0.3">
      <c r="E76" s="343"/>
      <c r="F76" s="19" t="s">
        <v>1072</v>
      </c>
      <c r="G76" s="344">
        <f>21*1.25*3*5</f>
        <v>393.75</v>
      </c>
      <c r="H76" s="338" t="s">
        <v>75</v>
      </c>
      <c r="J76" s="22" t="s">
        <v>161</v>
      </c>
      <c r="K76" s="339">
        <v>11.65</v>
      </c>
      <c r="L76" s="332">
        <f t="shared" si="1"/>
        <v>4587.1875</v>
      </c>
    </row>
    <row r="77" spans="5:12" ht="14.45" x14ac:dyDescent="0.3">
      <c r="E77" s="343"/>
      <c r="F77" s="19" t="s">
        <v>162</v>
      </c>
      <c r="G77" s="344">
        <f>G76</f>
        <v>393.75</v>
      </c>
      <c r="H77" s="338" t="s">
        <v>75</v>
      </c>
      <c r="J77" s="345" t="s">
        <v>163</v>
      </c>
      <c r="K77" s="339">
        <v>2</v>
      </c>
      <c r="L77" s="332">
        <f t="shared" si="1"/>
        <v>787.5</v>
      </c>
    </row>
    <row r="78" spans="5:12" ht="14.45" x14ac:dyDescent="0.3">
      <c r="E78" s="343"/>
      <c r="F78" s="19" t="s">
        <v>1070</v>
      </c>
      <c r="G78" s="344">
        <v>0.5</v>
      </c>
      <c r="H78" s="338" t="s">
        <v>8</v>
      </c>
      <c r="K78" s="339">
        <v>25</v>
      </c>
      <c r="L78" s="332">
        <f t="shared" si="1"/>
        <v>12.5</v>
      </c>
    </row>
    <row r="79" spans="5:12" ht="14.45" x14ac:dyDescent="0.3">
      <c r="E79" s="343" t="s">
        <v>164</v>
      </c>
      <c r="K79" s="339"/>
    </row>
    <row r="80" spans="5:12" ht="14.45" x14ac:dyDescent="0.3">
      <c r="F80" s="19" t="s">
        <v>1073</v>
      </c>
      <c r="G80" s="330">
        <f>58*0.6*0.8</f>
        <v>27.84</v>
      </c>
      <c r="H80" s="331" t="s">
        <v>4</v>
      </c>
      <c r="J80" s="22" t="s">
        <v>1066</v>
      </c>
      <c r="K80" s="339">
        <v>42.7</v>
      </c>
      <c r="L80" s="332">
        <f t="shared" ref="L80" si="2">G80*K80</f>
        <v>1188.768</v>
      </c>
    </row>
    <row r="81" spans="5:12" ht="14.45" x14ac:dyDescent="0.3">
      <c r="F81" s="19" t="s">
        <v>1074</v>
      </c>
      <c r="G81" s="330">
        <f>0.6*0.15*1*3</f>
        <v>0.27</v>
      </c>
      <c r="H81" s="331" t="s">
        <v>4</v>
      </c>
      <c r="K81" s="339">
        <v>186</v>
      </c>
      <c r="L81" s="332">
        <f t="shared" si="1"/>
        <v>50.220000000000006</v>
      </c>
    </row>
    <row r="82" spans="5:12" ht="14.45" x14ac:dyDescent="0.3">
      <c r="F82" s="19" t="s">
        <v>165</v>
      </c>
      <c r="G82" s="330">
        <f>13*3.5</f>
        <v>45.5</v>
      </c>
      <c r="H82" s="338" t="s">
        <v>75</v>
      </c>
      <c r="J82" s="22" t="s">
        <v>166</v>
      </c>
      <c r="K82" s="339">
        <v>70</v>
      </c>
      <c r="L82" s="332">
        <f t="shared" si="1"/>
        <v>3185</v>
      </c>
    </row>
    <row r="83" spans="5:12" ht="14.45" x14ac:dyDescent="0.3">
      <c r="F83" s="19" t="s">
        <v>167</v>
      </c>
      <c r="G83" s="330">
        <v>12</v>
      </c>
      <c r="H83" s="331" t="s">
        <v>1</v>
      </c>
      <c r="J83" s="22" t="s">
        <v>168</v>
      </c>
      <c r="K83" s="339">
        <v>19.27</v>
      </c>
      <c r="L83" s="332">
        <f t="shared" si="1"/>
        <v>231.24</v>
      </c>
    </row>
    <row r="84" spans="5:12" ht="14.45" x14ac:dyDescent="0.3">
      <c r="F84" s="19" t="s">
        <v>169</v>
      </c>
      <c r="G84" s="330">
        <v>3</v>
      </c>
      <c r="H84" s="331" t="s">
        <v>1</v>
      </c>
      <c r="J84" s="22" t="s">
        <v>170</v>
      </c>
      <c r="K84" s="339">
        <v>63.41</v>
      </c>
      <c r="L84" s="332">
        <f t="shared" si="1"/>
        <v>190.23</v>
      </c>
    </row>
    <row r="85" spans="5:12" ht="14.45" x14ac:dyDescent="0.3">
      <c r="F85" s="19" t="s">
        <v>171</v>
      </c>
      <c r="G85" s="330">
        <v>1</v>
      </c>
      <c r="H85" s="331" t="s">
        <v>1</v>
      </c>
      <c r="K85" s="339">
        <v>5000</v>
      </c>
      <c r="L85" s="332">
        <f t="shared" si="1"/>
        <v>5000</v>
      </c>
    </row>
    <row r="86" spans="5:12" ht="14.45" x14ac:dyDescent="0.3">
      <c r="F86" s="19" t="s">
        <v>172</v>
      </c>
      <c r="G86" s="330">
        <f>16+15+2</f>
        <v>33</v>
      </c>
      <c r="H86" s="331" t="s">
        <v>75</v>
      </c>
      <c r="J86" s="22" t="s">
        <v>173</v>
      </c>
      <c r="K86" s="339">
        <v>58</v>
      </c>
      <c r="L86" s="332">
        <f t="shared" si="1"/>
        <v>1914</v>
      </c>
    </row>
    <row r="87" spans="5:12" ht="14.45" x14ac:dyDescent="0.3">
      <c r="F87" s="19" t="s">
        <v>1075</v>
      </c>
      <c r="G87" s="330">
        <v>105</v>
      </c>
      <c r="H87" s="331" t="s">
        <v>75</v>
      </c>
      <c r="J87" s="22" t="s">
        <v>174</v>
      </c>
      <c r="K87" s="339">
        <v>50</v>
      </c>
      <c r="L87" s="332">
        <f t="shared" si="1"/>
        <v>5250</v>
      </c>
    </row>
    <row r="88" spans="5:12" ht="14.45" x14ac:dyDescent="0.3">
      <c r="F88" s="19" t="s">
        <v>175</v>
      </c>
      <c r="G88" s="330">
        <v>1</v>
      </c>
      <c r="H88" s="338" t="s">
        <v>1</v>
      </c>
      <c r="J88" s="22" t="s">
        <v>176</v>
      </c>
      <c r="K88" s="339">
        <v>15</v>
      </c>
      <c r="L88" s="332">
        <f t="shared" si="1"/>
        <v>15</v>
      </c>
    </row>
    <row r="89" spans="5:12" ht="14.45" x14ac:dyDescent="0.3">
      <c r="F89" s="19" t="s">
        <v>177</v>
      </c>
      <c r="G89" s="330">
        <v>1</v>
      </c>
      <c r="H89" s="331" t="s">
        <v>1</v>
      </c>
      <c r="J89" s="22" t="s">
        <v>178</v>
      </c>
      <c r="K89" s="339">
        <v>35</v>
      </c>
      <c r="L89" s="332">
        <f t="shared" si="1"/>
        <v>35</v>
      </c>
    </row>
    <row r="90" spans="5:12" ht="14.45" x14ac:dyDescent="0.3">
      <c r="F90" s="19" t="s">
        <v>1070</v>
      </c>
      <c r="G90" s="330">
        <v>5</v>
      </c>
      <c r="H90" s="331" t="s">
        <v>8</v>
      </c>
      <c r="K90" s="339">
        <v>25</v>
      </c>
      <c r="L90" s="332">
        <f t="shared" si="1"/>
        <v>125</v>
      </c>
    </row>
    <row r="91" spans="5:12" ht="14.45" x14ac:dyDescent="0.3">
      <c r="E91" s="343" t="s">
        <v>179</v>
      </c>
      <c r="F91" s="19"/>
      <c r="K91" s="339"/>
    </row>
    <row r="92" spans="5:12" ht="14.45" x14ac:dyDescent="0.3">
      <c r="E92" s="343"/>
      <c r="F92" s="19" t="s">
        <v>180</v>
      </c>
      <c r="G92" s="330">
        <f>10*3</f>
        <v>30</v>
      </c>
      <c r="H92" s="331" t="s">
        <v>1</v>
      </c>
      <c r="J92" s="22" t="s">
        <v>181</v>
      </c>
      <c r="K92" s="339">
        <v>41.42</v>
      </c>
      <c r="L92" s="332">
        <f t="shared" ref="L92:L109" si="3">G92*K92</f>
        <v>1242.6000000000001</v>
      </c>
    </row>
    <row r="93" spans="5:12" ht="14.45" x14ac:dyDescent="0.3">
      <c r="E93" s="343"/>
      <c r="F93" s="19" t="s">
        <v>182</v>
      </c>
      <c r="G93" s="330">
        <f>33</f>
        <v>33</v>
      </c>
      <c r="H93" s="331" t="s">
        <v>1</v>
      </c>
      <c r="J93" s="22" t="s">
        <v>181</v>
      </c>
      <c r="K93" s="339">
        <v>38.590000000000003</v>
      </c>
      <c r="L93" s="332">
        <f t="shared" si="3"/>
        <v>1273.47</v>
      </c>
    </row>
    <row r="94" spans="5:12" ht="14.45" x14ac:dyDescent="0.3">
      <c r="E94" s="343"/>
      <c r="F94" s="19" t="s">
        <v>183</v>
      </c>
      <c r="G94" s="330">
        <f>2*59</f>
        <v>118</v>
      </c>
      <c r="H94" s="331" t="s">
        <v>1</v>
      </c>
      <c r="J94" s="22" t="s">
        <v>184</v>
      </c>
      <c r="K94" s="339">
        <v>96.34</v>
      </c>
      <c r="L94" s="332">
        <f t="shared" si="3"/>
        <v>11368.12</v>
      </c>
    </row>
    <row r="95" spans="5:12" ht="14.45" x14ac:dyDescent="0.3">
      <c r="E95" s="343"/>
      <c r="F95" s="19" t="s">
        <v>185</v>
      </c>
      <c r="G95" s="330">
        <f>1*59+2*3+2*3*4</f>
        <v>89</v>
      </c>
      <c r="H95" s="331" t="s">
        <v>1</v>
      </c>
      <c r="J95" s="22" t="s">
        <v>184</v>
      </c>
      <c r="K95" s="339">
        <v>96.34</v>
      </c>
      <c r="L95" s="332">
        <f t="shared" si="3"/>
        <v>8574.26</v>
      </c>
    </row>
    <row r="96" spans="5:12" ht="14.45" x14ac:dyDescent="0.3">
      <c r="E96" s="343"/>
      <c r="F96" s="19" t="s">
        <v>186</v>
      </c>
      <c r="G96" s="330">
        <f>3*59+2*3+2*3*3+1*3</f>
        <v>204</v>
      </c>
      <c r="H96" s="331" t="s">
        <v>1</v>
      </c>
      <c r="J96" s="22" t="s">
        <v>184</v>
      </c>
      <c r="K96" s="339">
        <v>209.13</v>
      </c>
      <c r="L96" s="332">
        <f t="shared" si="3"/>
        <v>42662.52</v>
      </c>
    </row>
    <row r="97" spans="5:12" ht="14.45" x14ac:dyDescent="0.3">
      <c r="E97" s="343"/>
      <c r="F97" s="19" t="s">
        <v>187</v>
      </c>
      <c r="G97" s="330">
        <f>1*59</f>
        <v>59</v>
      </c>
      <c r="H97" s="331" t="s">
        <v>1</v>
      </c>
      <c r="J97" s="22" t="s">
        <v>184</v>
      </c>
      <c r="K97" s="339">
        <v>96.34</v>
      </c>
      <c r="L97" s="332">
        <f t="shared" si="3"/>
        <v>5684.06</v>
      </c>
    </row>
    <row r="98" spans="5:12" ht="14.45" x14ac:dyDescent="0.3">
      <c r="F98" s="19" t="s">
        <v>188</v>
      </c>
      <c r="G98" s="330">
        <f>15*3+4*59</f>
        <v>281</v>
      </c>
      <c r="H98" s="331" t="s">
        <v>1</v>
      </c>
      <c r="J98" s="22" t="s">
        <v>189</v>
      </c>
      <c r="K98" s="339">
        <v>16.25</v>
      </c>
      <c r="L98" s="332">
        <f t="shared" si="3"/>
        <v>4566.25</v>
      </c>
    </row>
    <row r="99" spans="5:12" ht="14.45" x14ac:dyDescent="0.3">
      <c r="F99" s="19" t="s">
        <v>190</v>
      </c>
      <c r="G99" s="330">
        <f>2*60-2</f>
        <v>118</v>
      </c>
      <c r="H99" s="331" t="s">
        <v>1</v>
      </c>
      <c r="J99" s="22" t="s">
        <v>191</v>
      </c>
      <c r="K99" s="339">
        <v>16.34</v>
      </c>
      <c r="L99" s="332">
        <f t="shared" si="3"/>
        <v>1928.12</v>
      </c>
    </row>
    <row r="100" spans="5:12" ht="14.45" x14ac:dyDescent="0.3">
      <c r="F100" s="19" t="s">
        <v>192</v>
      </c>
      <c r="G100" s="330">
        <f>3*3*4+2*3</f>
        <v>42</v>
      </c>
      <c r="H100" s="331" t="s">
        <v>1</v>
      </c>
      <c r="J100" s="22" t="s">
        <v>189</v>
      </c>
      <c r="K100" s="339">
        <v>16.25</v>
      </c>
      <c r="L100" s="332">
        <f t="shared" si="3"/>
        <v>682.5</v>
      </c>
    </row>
    <row r="101" spans="5:12" ht="14.45" x14ac:dyDescent="0.3">
      <c r="F101" s="19" t="s">
        <v>193</v>
      </c>
      <c r="G101" s="330">
        <f>9+3*3</f>
        <v>18</v>
      </c>
      <c r="H101" s="331" t="s">
        <v>1</v>
      </c>
      <c r="J101" s="22" t="s">
        <v>194</v>
      </c>
      <c r="K101" s="339">
        <v>27</v>
      </c>
      <c r="L101" s="332">
        <f t="shared" si="3"/>
        <v>486</v>
      </c>
    </row>
    <row r="102" spans="5:12" ht="14.45" x14ac:dyDescent="0.3">
      <c r="F102" s="19" t="s">
        <v>195</v>
      </c>
      <c r="G102" s="330">
        <f>59*1</f>
        <v>59</v>
      </c>
      <c r="H102" s="331" t="s">
        <v>1</v>
      </c>
      <c r="K102" s="339">
        <v>500</v>
      </c>
      <c r="L102" s="332">
        <f t="shared" si="3"/>
        <v>29500</v>
      </c>
    </row>
    <row r="103" spans="5:12" ht="14.45" x14ac:dyDescent="0.3">
      <c r="F103" s="19" t="s">
        <v>196</v>
      </c>
      <c r="G103" s="330">
        <v>3</v>
      </c>
      <c r="H103" s="331" t="s">
        <v>1</v>
      </c>
      <c r="K103" s="339">
        <v>750</v>
      </c>
      <c r="L103" s="332">
        <f t="shared" si="3"/>
        <v>2250</v>
      </c>
    </row>
    <row r="104" spans="5:12" ht="14.45" x14ac:dyDescent="0.3">
      <c r="F104" s="19" t="s">
        <v>197</v>
      </c>
      <c r="G104" s="330">
        <v>3</v>
      </c>
      <c r="H104" s="331" t="s">
        <v>1</v>
      </c>
      <c r="K104" s="339">
        <v>1000</v>
      </c>
      <c r="L104" s="332">
        <f t="shared" si="3"/>
        <v>3000</v>
      </c>
    </row>
    <row r="105" spans="5:12" ht="14.45" x14ac:dyDescent="0.3">
      <c r="F105" s="19" t="s">
        <v>198</v>
      </c>
      <c r="G105" s="330">
        <f>31*2*3+48*59+11*1.5*15</f>
        <v>3265.5</v>
      </c>
      <c r="H105" s="338" t="s">
        <v>75</v>
      </c>
      <c r="J105" s="22" t="s">
        <v>199</v>
      </c>
      <c r="K105" s="339">
        <v>1.25</v>
      </c>
      <c r="L105" s="332">
        <f t="shared" si="3"/>
        <v>4081.875</v>
      </c>
    </row>
    <row r="106" spans="5:12" x14ac:dyDescent="0.25">
      <c r="F106" s="19" t="s">
        <v>1076</v>
      </c>
      <c r="G106" s="330">
        <f>G105</f>
        <v>3265.5</v>
      </c>
      <c r="H106" s="338" t="s">
        <v>75</v>
      </c>
      <c r="J106" s="22" t="s">
        <v>200</v>
      </c>
      <c r="K106" s="25">
        <v>5</v>
      </c>
      <c r="L106" s="332">
        <f t="shared" si="3"/>
        <v>16327.5</v>
      </c>
    </row>
    <row r="107" spans="5:12" x14ac:dyDescent="0.25">
      <c r="F107" s="19" t="s">
        <v>201</v>
      </c>
      <c r="G107" s="330">
        <f>2*60+2*3*5+2*3+8*3</f>
        <v>180</v>
      </c>
      <c r="H107" s="338" t="s">
        <v>1</v>
      </c>
      <c r="J107" s="22" t="s">
        <v>202</v>
      </c>
      <c r="K107" s="339">
        <v>34.14</v>
      </c>
      <c r="L107" s="332">
        <f t="shared" si="3"/>
        <v>6145.2</v>
      </c>
    </row>
    <row r="108" spans="5:12" x14ac:dyDescent="0.25">
      <c r="F108" s="19" t="s">
        <v>203</v>
      </c>
      <c r="G108" s="330">
        <f>(G92+G93+G94+G95+G96+G97+G98+G99+G100+G101)*2*2</f>
        <v>3968</v>
      </c>
      <c r="H108" s="338" t="s">
        <v>1</v>
      </c>
      <c r="J108" s="22" t="s">
        <v>204</v>
      </c>
      <c r="K108" s="339">
        <v>2</v>
      </c>
      <c r="L108" s="332">
        <f t="shared" si="3"/>
        <v>7936</v>
      </c>
    </row>
    <row r="109" spans="5:12" x14ac:dyDescent="0.25">
      <c r="F109" s="19" t="s">
        <v>1070</v>
      </c>
      <c r="G109" s="330">
        <v>5</v>
      </c>
      <c r="H109" s="338" t="s">
        <v>8</v>
      </c>
      <c r="K109" s="339">
        <v>25</v>
      </c>
      <c r="L109" s="332">
        <f t="shared" si="3"/>
        <v>125</v>
      </c>
    </row>
    <row r="110" spans="5:12" x14ac:dyDescent="0.25">
      <c r="E110" s="343" t="s">
        <v>205</v>
      </c>
      <c r="H110" s="338"/>
      <c r="K110" s="339"/>
    </row>
    <row r="111" spans="5:12" x14ac:dyDescent="0.25">
      <c r="F111" s="19" t="s">
        <v>206</v>
      </c>
      <c r="G111" s="344">
        <f>6*3+6*59+3*5</f>
        <v>387</v>
      </c>
      <c r="H111" s="338" t="s">
        <v>1</v>
      </c>
      <c r="J111" s="22" t="s">
        <v>207</v>
      </c>
      <c r="K111" s="339">
        <v>16.34</v>
      </c>
      <c r="L111" s="332">
        <f t="shared" ref="L111:L118" si="4">G111*K111</f>
        <v>6323.58</v>
      </c>
    </row>
    <row r="112" spans="5:12" x14ac:dyDescent="0.25">
      <c r="F112" s="19" t="s">
        <v>208</v>
      </c>
      <c r="G112" s="344">
        <f>4*3+1*59</f>
        <v>71</v>
      </c>
      <c r="H112" s="338" t="s">
        <v>1</v>
      </c>
      <c r="J112" s="22" t="s">
        <v>207</v>
      </c>
      <c r="K112" s="339">
        <v>16.34</v>
      </c>
      <c r="L112" s="332">
        <f t="shared" si="4"/>
        <v>1160.1400000000001</v>
      </c>
    </row>
    <row r="113" spans="4:12" x14ac:dyDescent="0.25">
      <c r="F113" s="19" t="s">
        <v>209</v>
      </c>
      <c r="G113" s="344">
        <v>59</v>
      </c>
      <c r="H113" s="338" t="s">
        <v>1</v>
      </c>
      <c r="K113" s="339">
        <v>20</v>
      </c>
      <c r="L113" s="332">
        <f t="shared" si="4"/>
        <v>1180</v>
      </c>
    </row>
    <row r="114" spans="4:12" x14ac:dyDescent="0.25">
      <c r="F114" s="19" t="s">
        <v>1077</v>
      </c>
      <c r="G114" s="344">
        <v>59</v>
      </c>
      <c r="H114" s="338" t="s">
        <v>1</v>
      </c>
      <c r="J114" s="22" t="s">
        <v>202</v>
      </c>
      <c r="K114" s="339">
        <v>34.14</v>
      </c>
      <c r="L114" s="332">
        <f t="shared" si="4"/>
        <v>2014.26</v>
      </c>
    </row>
    <row r="115" spans="4:12" x14ac:dyDescent="0.25">
      <c r="F115" s="19" t="s">
        <v>1078</v>
      </c>
      <c r="G115" s="344">
        <f>3*(6*5+5+4+7+3+4+9)+59*(13+16+12+8)+18*3</f>
        <v>3131</v>
      </c>
      <c r="H115" s="338" t="s">
        <v>75</v>
      </c>
      <c r="J115" s="22" t="s">
        <v>200</v>
      </c>
      <c r="K115" s="339">
        <v>6.5</v>
      </c>
      <c r="L115" s="332">
        <f t="shared" si="4"/>
        <v>20351.5</v>
      </c>
    </row>
    <row r="116" spans="4:12" x14ac:dyDescent="0.25">
      <c r="F116" s="19" t="s">
        <v>162</v>
      </c>
      <c r="G116" s="344">
        <f>G115</f>
        <v>3131</v>
      </c>
      <c r="H116" s="338" t="s">
        <v>75</v>
      </c>
      <c r="K116" s="339">
        <v>1.7</v>
      </c>
      <c r="L116" s="332">
        <f t="shared" si="4"/>
        <v>5322.7</v>
      </c>
    </row>
    <row r="117" spans="4:12" x14ac:dyDescent="0.25">
      <c r="F117" s="19" t="s">
        <v>203</v>
      </c>
      <c r="G117" s="344">
        <f>3*G111+5*G112+3*G113+3*G114</f>
        <v>1870</v>
      </c>
      <c r="H117" s="338" t="s">
        <v>1</v>
      </c>
      <c r="J117" s="22" t="s">
        <v>204</v>
      </c>
      <c r="K117" s="339">
        <v>2</v>
      </c>
      <c r="L117" s="332">
        <f t="shared" si="4"/>
        <v>3740</v>
      </c>
    </row>
    <row r="118" spans="4:12" x14ac:dyDescent="0.25">
      <c r="F118" s="19" t="s">
        <v>1070</v>
      </c>
      <c r="G118" s="344">
        <v>2.5</v>
      </c>
      <c r="H118" s="338" t="s">
        <v>8</v>
      </c>
      <c r="K118" s="339">
        <v>25</v>
      </c>
      <c r="L118" s="332">
        <f t="shared" si="4"/>
        <v>62.5</v>
      </c>
    </row>
    <row r="119" spans="4:12" x14ac:dyDescent="0.25">
      <c r="D119" s="19" t="s">
        <v>105</v>
      </c>
      <c r="G119" s="344"/>
      <c r="L119" s="332">
        <v>0</v>
      </c>
    </row>
    <row r="120" spans="4:12" x14ac:dyDescent="0.25">
      <c r="D120" s="19" t="s">
        <v>106</v>
      </c>
      <c r="G120" s="344"/>
      <c r="L120" s="332">
        <f>SUM(L121:L200)</f>
        <v>104819.15394957984</v>
      </c>
    </row>
    <row r="121" spans="4:12" x14ac:dyDescent="0.25">
      <c r="E121" s="20" t="s">
        <v>210</v>
      </c>
      <c r="F121" s="26"/>
      <c r="G121" s="344"/>
    </row>
    <row r="122" spans="4:12" x14ac:dyDescent="0.25">
      <c r="F122" s="26" t="s">
        <v>1079</v>
      </c>
      <c r="G122" s="344"/>
    </row>
    <row r="123" spans="4:12" x14ac:dyDescent="0.25">
      <c r="F123" s="21" t="s">
        <v>1080</v>
      </c>
      <c r="G123" s="344">
        <f>148*2</f>
        <v>296</v>
      </c>
      <c r="H123" s="338" t="s">
        <v>75</v>
      </c>
    </row>
    <row r="124" spans="4:12" x14ac:dyDescent="0.25">
      <c r="F124" s="21" t="s">
        <v>211</v>
      </c>
      <c r="G124" s="344">
        <f>28*2</f>
        <v>56</v>
      </c>
      <c r="H124" s="338" t="s">
        <v>1</v>
      </c>
    </row>
    <row r="125" spans="4:12" x14ac:dyDescent="0.25">
      <c r="F125" s="21" t="s">
        <v>212</v>
      </c>
      <c r="G125" s="344">
        <f>12*2</f>
        <v>24</v>
      </c>
      <c r="H125" s="338" t="s">
        <v>1</v>
      </c>
    </row>
    <row r="126" spans="4:12" x14ac:dyDescent="0.25">
      <c r="F126" s="21" t="s">
        <v>213</v>
      </c>
      <c r="G126" s="344">
        <f>12*2</f>
        <v>24</v>
      </c>
      <c r="H126" s="338" t="s">
        <v>1</v>
      </c>
    </row>
    <row r="127" spans="4:12" x14ac:dyDescent="0.25">
      <c r="F127" s="21" t="s">
        <v>1081</v>
      </c>
      <c r="G127" s="344">
        <f>G123/0.75</f>
        <v>394.66666666666669</v>
      </c>
      <c r="H127" s="338" t="s">
        <v>1</v>
      </c>
    </row>
    <row r="128" spans="4:12" x14ac:dyDescent="0.25">
      <c r="F128" s="21" t="s">
        <v>1082</v>
      </c>
      <c r="G128" s="344">
        <f>G123</f>
        <v>296</v>
      </c>
      <c r="H128" s="338" t="s">
        <v>75</v>
      </c>
    </row>
    <row r="129" spans="1:13" x14ac:dyDescent="0.25">
      <c r="F129" s="21" t="s">
        <v>1083</v>
      </c>
      <c r="G129" s="344">
        <f>14*4*3*2</f>
        <v>336</v>
      </c>
      <c r="H129" s="338" t="s">
        <v>75</v>
      </c>
    </row>
    <row r="130" spans="1:13" x14ac:dyDescent="0.25">
      <c r="F130" s="21" t="s">
        <v>214</v>
      </c>
      <c r="G130" s="344">
        <f>60*2</f>
        <v>120</v>
      </c>
      <c r="H130" s="338" t="s">
        <v>1</v>
      </c>
    </row>
    <row r="131" spans="1:13" x14ac:dyDescent="0.25">
      <c r="F131" s="21" t="s">
        <v>215</v>
      </c>
      <c r="G131" s="344">
        <f>12*2</f>
        <v>24</v>
      </c>
      <c r="H131" s="338" t="s">
        <v>1</v>
      </c>
    </row>
    <row r="132" spans="1:13" x14ac:dyDescent="0.25">
      <c r="F132" s="21" t="s">
        <v>1084</v>
      </c>
      <c r="G132" s="344">
        <f>G129/1</f>
        <v>336</v>
      </c>
      <c r="H132" s="338" t="s">
        <v>1</v>
      </c>
    </row>
    <row r="133" spans="1:13" x14ac:dyDescent="0.25">
      <c r="F133" s="21" t="s">
        <v>1085</v>
      </c>
      <c r="G133" s="344">
        <f>G129</f>
        <v>336</v>
      </c>
      <c r="H133" s="338" t="s">
        <v>75</v>
      </c>
    </row>
    <row r="134" spans="1:13" x14ac:dyDescent="0.25">
      <c r="F134" s="21" t="s">
        <v>216</v>
      </c>
      <c r="G134" s="344">
        <f>60*2</f>
        <v>120</v>
      </c>
      <c r="H134" s="338" t="s">
        <v>1</v>
      </c>
    </row>
    <row r="135" spans="1:13" x14ac:dyDescent="0.25">
      <c r="F135" s="21" t="s">
        <v>1086</v>
      </c>
      <c r="G135" s="344">
        <f>1*59*2</f>
        <v>118</v>
      </c>
      <c r="H135" s="338" t="s">
        <v>1</v>
      </c>
    </row>
    <row r="136" spans="1:13" x14ac:dyDescent="0.25">
      <c r="F136" s="21" t="s">
        <v>217</v>
      </c>
      <c r="G136" s="344">
        <f>5*59*2</f>
        <v>590</v>
      </c>
      <c r="H136" s="338" t="s">
        <v>1</v>
      </c>
    </row>
    <row r="137" spans="1:13" x14ac:dyDescent="0.25">
      <c r="F137" s="21" t="s">
        <v>1087</v>
      </c>
      <c r="G137" s="344">
        <f>(0.75+2+1.25)*2*59</f>
        <v>472</v>
      </c>
      <c r="H137" s="338" t="s">
        <v>75</v>
      </c>
    </row>
    <row r="138" spans="1:13" x14ac:dyDescent="0.25">
      <c r="F138" s="21" t="s">
        <v>218</v>
      </c>
      <c r="G138" s="344">
        <f>(1+1+1)*2*59</f>
        <v>354</v>
      </c>
      <c r="H138" s="338" t="s">
        <v>1</v>
      </c>
    </row>
    <row r="139" spans="1:13" x14ac:dyDescent="0.25">
      <c r="F139" s="21" t="s">
        <v>219</v>
      </c>
      <c r="G139" s="344">
        <f>2*59*2</f>
        <v>236</v>
      </c>
      <c r="H139" s="338" t="s">
        <v>1</v>
      </c>
    </row>
    <row r="140" spans="1:13" x14ac:dyDescent="0.25">
      <c r="F140" s="21" t="s">
        <v>220</v>
      </c>
      <c r="G140" s="344">
        <f>3*59*2</f>
        <v>354</v>
      </c>
      <c r="H140" s="338" t="s">
        <v>1</v>
      </c>
    </row>
    <row r="141" spans="1:13" x14ac:dyDescent="0.25">
      <c r="F141" s="26" t="s">
        <v>1070</v>
      </c>
      <c r="G141" s="344"/>
      <c r="H141" s="338" t="s">
        <v>8</v>
      </c>
    </row>
    <row r="142" spans="1:13" x14ac:dyDescent="0.25">
      <c r="E142" s="20" t="s">
        <v>221</v>
      </c>
      <c r="F142" s="26"/>
      <c r="G142" s="344"/>
    </row>
    <row r="143" spans="1:13" x14ac:dyDescent="0.25">
      <c r="F143" s="21" t="s">
        <v>1088</v>
      </c>
      <c r="G143" s="344">
        <v>1</v>
      </c>
      <c r="H143" s="338" t="s">
        <v>1</v>
      </c>
    </row>
    <row r="144" spans="1:13" s="22" customFormat="1" x14ac:dyDescent="0.25">
      <c r="A144"/>
      <c r="B144"/>
      <c r="C144" s="19"/>
      <c r="D144" s="19"/>
      <c r="E144" s="20"/>
      <c r="F144" s="21" t="s">
        <v>1089</v>
      </c>
      <c r="G144" s="344">
        <v>2</v>
      </c>
      <c r="H144" s="338" t="s">
        <v>1</v>
      </c>
      <c r="I144"/>
      <c r="K144" s="332"/>
      <c r="L144" s="332"/>
      <c r="M144"/>
    </row>
    <row r="145" spans="1:13" s="22" customFormat="1" x14ac:dyDescent="0.25">
      <c r="A145"/>
      <c r="B145"/>
      <c r="C145" s="19"/>
      <c r="D145" s="19"/>
      <c r="E145" s="20"/>
      <c r="F145" s="21" t="s">
        <v>222</v>
      </c>
      <c r="G145" s="344">
        <v>1</v>
      </c>
      <c r="H145" s="338" t="s">
        <v>1</v>
      </c>
      <c r="I145"/>
      <c r="K145" s="332"/>
      <c r="L145" s="332"/>
      <c r="M145"/>
    </row>
    <row r="146" spans="1:13" s="22" customFormat="1" x14ac:dyDescent="0.25">
      <c r="A146"/>
      <c r="B146"/>
      <c r="C146" s="19"/>
      <c r="D146" s="19"/>
      <c r="E146" s="20"/>
      <c r="F146" s="21" t="s">
        <v>1080</v>
      </c>
      <c r="G146" s="344">
        <v>4</v>
      </c>
      <c r="H146" s="338" t="s">
        <v>75</v>
      </c>
      <c r="I146"/>
      <c r="K146" s="332"/>
      <c r="L146" s="332"/>
      <c r="M146"/>
    </row>
    <row r="147" spans="1:13" s="22" customFormat="1" x14ac:dyDescent="0.25">
      <c r="A147"/>
      <c r="B147"/>
      <c r="C147" s="19"/>
      <c r="D147" s="19"/>
      <c r="E147" s="20"/>
      <c r="F147" s="21" t="s">
        <v>1090</v>
      </c>
      <c r="G147" s="344">
        <v>4</v>
      </c>
      <c r="H147" s="338" t="s">
        <v>75</v>
      </c>
      <c r="I147"/>
      <c r="K147" s="332"/>
      <c r="L147" s="332"/>
      <c r="M147"/>
    </row>
    <row r="148" spans="1:13" s="22" customFormat="1" x14ac:dyDescent="0.25">
      <c r="A148"/>
      <c r="B148"/>
      <c r="C148" s="19"/>
      <c r="D148" s="19"/>
      <c r="E148" s="20"/>
      <c r="F148" s="21" t="s">
        <v>223</v>
      </c>
      <c r="G148" s="344">
        <v>1</v>
      </c>
      <c r="H148" s="338" t="s">
        <v>1</v>
      </c>
      <c r="I148"/>
      <c r="K148" s="332"/>
      <c r="L148" s="332"/>
      <c r="M148"/>
    </row>
    <row r="149" spans="1:13" s="22" customFormat="1" x14ac:dyDescent="0.25">
      <c r="A149"/>
      <c r="B149"/>
      <c r="C149" s="19"/>
      <c r="D149" s="19"/>
      <c r="E149" s="20"/>
      <c r="F149" s="21" t="s">
        <v>224</v>
      </c>
      <c r="G149" s="344">
        <v>1</v>
      </c>
      <c r="H149" s="338" t="s">
        <v>1</v>
      </c>
      <c r="I149"/>
      <c r="K149" s="332"/>
      <c r="L149" s="332"/>
      <c r="M149"/>
    </row>
    <row r="150" spans="1:13" s="22" customFormat="1" x14ac:dyDescent="0.25">
      <c r="A150"/>
      <c r="B150"/>
      <c r="C150" s="19"/>
      <c r="D150" s="19"/>
      <c r="E150" s="20"/>
      <c r="F150" s="21" t="s">
        <v>1070</v>
      </c>
      <c r="G150" s="344">
        <v>0.1</v>
      </c>
      <c r="H150" s="338" t="s">
        <v>8</v>
      </c>
      <c r="I150"/>
      <c r="K150" s="332"/>
      <c r="L150" s="332"/>
      <c r="M150"/>
    </row>
    <row r="151" spans="1:13" s="22" customFormat="1" x14ac:dyDescent="0.25">
      <c r="A151"/>
      <c r="B151"/>
      <c r="C151" s="19"/>
      <c r="D151" s="19"/>
      <c r="E151" s="20" t="s">
        <v>225</v>
      </c>
      <c r="F151"/>
      <c r="G151" s="346"/>
      <c r="H151" s="331"/>
      <c r="I151"/>
      <c r="K151" s="332"/>
      <c r="L151" s="332"/>
      <c r="M151"/>
    </row>
    <row r="152" spans="1:13" s="22" customFormat="1" x14ac:dyDescent="0.25">
      <c r="A152"/>
      <c r="B152"/>
      <c r="C152" s="19"/>
      <c r="D152" s="19"/>
      <c r="E152" s="20"/>
      <c r="F152" s="26" t="s">
        <v>1079</v>
      </c>
      <c r="G152" s="346"/>
      <c r="H152" s="331"/>
      <c r="I152"/>
      <c r="K152" s="332"/>
      <c r="L152" s="332"/>
      <c r="M152"/>
    </row>
    <row r="153" spans="1:13" s="22" customFormat="1" x14ac:dyDescent="0.25">
      <c r="A153"/>
      <c r="B153"/>
      <c r="C153" s="19"/>
      <c r="D153" s="19"/>
      <c r="E153" s="20"/>
      <c r="F153" s="21" t="s">
        <v>226</v>
      </c>
      <c r="G153" s="332">
        <f>4*3</f>
        <v>12</v>
      </c>
      <c r="H153" s="331" t="s">
        <v>1</v>
      </c>
      <c r="I153"/>
      <c r="K153" s="332"/>
      <c r="L153" s="332"/>
      <c r="M153"/>
    </row>
    <row r="154" spans="1:13" s="22" customFormat="1" x14ac:dyDescent="0.25">
      <c r="A154"/>
      <c r="B154"/>
      <c r="C154" s="19"/>
      <c r="D154" s="19"/>
      <c r="E154" s="20"/>
      <c r="F154" s="21" t="s">
        <v>227</v>
      </c>
      <c r="G154" s="332">
        <f>12*2</f>
        <v>24</v>
      </c>
      <c r="H154" s="338" t="s">
        <v>1</v>
      </c>
      <c r="I154" t="s">
        <v>228</v>
      </c>
      <c r="K154" s="332"/>
      <c r="L154" s="332"/>
      <c r="M154"/>
    </row>
    <row r="155" spans="1:13" s="22" customFormat="1" x14ac:dyDescent="0.25">
      <c r="A155"/>
      <c r="B155"/>
      <c r="C155" s="19"/>
      <c r="D155" s="19"/>
      <c r="E155" s="20"/>
      <c r="F155" s="21" t="s">
        <v>1091</v>
      </c>
      <c r="G155" s="332">
        <f>145+4*3*13*2</f>
        <v>457</v>
      </c>
      <c r="H155" s="331" t="s">
        <v>75</v>
      </c>
      <c r="I155"/>
      <c r="K155" s="332"/>
      <c r="L155" s="332"/>
      <c r="M155"/>
    </row>
    <row r="156" spans="1:13" s="22" customFormat="1" x14ac:dyDescent="0.25">
      <c r="A156"/>
      <c r="B156"/>
      <c r="C156" s="19"/>
      <c r="D156" s="19"/>
      <c r="E156" s="20"/>
      <c r="F156" s="21" t="s">
        <v>1092</v>
      </c>
      <c r="G156" s="332">
        <f>4*3*13+63.5</f>
        <v>219.5</v>
      </c>
      <c r="H156" s="338" t="s">
        <v>75</v>
      </c>
      <c r="I156"/>
      <c r="K156" s="332"/>
      <c r="L156" s="332"/>
      <c r="M156"/>
    </row>
    <row r="157" spans="1:13" s="22" customFormat="1" x14ac:dyDescent="0.25">
      <c r="A157"/>
      <c r="B157"/>
      <c r="C157" s="19"/>
      <c r="D157" s="19"/>
      <c r="E157" s="20"/>
      <c r="F157" s="21" t="s">
        <v>1093</v>
      </c>
      <c r="G157" s="332">
        <v>59</v>
      </c>
      <c r="H157" s="338" t="s">
        <v>1</v>
      </c>
      <c r="I157"/>
      <c r="K157" s="332"/>
      <c r="L157" s="332"/>
      <c r="M157"/>
    </row>
    <row r="158" spans="1:13" s="22" customFormat="1" x14ac:dyDescent="0.25">
      <c r="A158"/>
      <c r="B158"/>
      <c r="C158" s="19"/>
      <c r="D158" s="19"/>
      <c r="E158" s="20"/>
      <c r="F158" s="21" t="s">
        <v>229</v>
      </c>
      <c r="G158" s="332">
        <v>59</v>
      </c>
      <c r="H158" s="338" t="s">
        <v>1</v>
      </c>
      <c r="I158"/>
      <c r="K158" s="332"/>
      <c r="L158" s="332"/>
      <c r="M158"/>
    </row>
    <row r="159" spans="1:13" s="22" customFormat="1" x14ac:dyDescent="0.25">
      <c r="A159"/>
      <c r="B159"/>
      <c r="C159" s="19"/>
      <c r="D159" s="19"/>
      <c r="E159" s="20"/>
      <c r="F159" s="21" t="s">
        <v>1094</v>
      </c>
      <c r="G159" s="332">
        <v>64</v>
      </c>
      <c r="H159" s="338" t="s">
        <v>1</v>
      </c>
      <c r="I159"/>
      <c r="K159" s="332"/>
      <c r="L159" s="332"/>
      <c r="M159"/>
    </row>
    <row r="160" spans="1:13" x14ac:dyDescent="0.25">
      <c r="F160" s="21" t="s">
        <v>1095</v>
      </c>
      <c r="G160" s="332">
        <v>18</v>
      </c>
      <c r="H160" s="338" t="s">
        <v>1</v>
      </c>
    </row>
    <row r="161" spans="5:8" x14ac:dyDescent="0.25">
      <c r="F161" s="21" t="s">
        <v>1096</v>
      </c>
      <c r="G161" s="332">
        <f>G155</f>
        <v>457</v>
      </c>
      <c r="H161" s="338" t="s">
        <v>1</v>
      </c>
    </row>
    <row r="162" spans="5:8" x14ac:dyDescent="0.25">
      <c r="F162" s="21" t="s">
        <v>1097</v>
      </c>
      <c r="G162" s="332">
        <f>60*1.5</f>
        <v>90</v>
      </c>
      <c r="H162" s="338" t="s">
        <v>75</v>
      </c>
    </row>
    <row r="163" spans="5:8" x14ac:dyDescent="0.25">
      <c r="F163" s="21" t="s">
        <v>1098</v>
      </c>
      <c r="G163" s="332">
        <f>2*60</f>
        <v>120</v>
      </c>
      <c r="H163" s="338" t="s">
        <v>1</v>
      </c>
    </row>
    <row r="164" spans="5:8" x14ac:dyDescent="0.25">
      <c r="F164" s="21" t="s">
        <v>1099</v>
      </c>
      <c r="G164" s="332">
        <f>1.5*59+59*2+1.5*60</f>
        <v>296.5</v>
      </c>
      <c r="H164" s="338" t="s">
        <v>75</v>
      </c>
    </row>
    <row r="165" spans="5:8" x14ac:dyDescent="0.25">
      <c r="F165" s="21" t="s">
        <v>1100</v>
      </c>
      <c r="G165" s="332">
        <f>2*59+2*60</f>
        <v>238</v>
      </c>
      <c r="H165" s="338" t="s">
        <v>1</v>
      </c>
    </row>
    <row r="166" spans="5:8" x14ac:dyDescent="0.25">
      <c r="F166" s="21" t="s">
        <v>230</v>
      </c>
      <c r="G166" s="332">
        <v>60</v>
      </c>
      <c r="H166" s="331" t="s">
        <v>1</v>
      </c>
    </row>
    <row r="167" spans="5:8" x14ac:dyDescent="0.25">
      <c r="F167" s="21" t="s">
        <v>1101</v>
      </c>
      <c r="G167" s="332">
        <f>G164*0.5</f>
        <v>148.25</v>
      </c>
      <c r="H167" s="338" t="s">
        <v>1</v>
      </c>
    </row>
    <row r="168" spans="5:8" x14ac:dyDescent="0.25">
      <c r="F168" s="26" t="s">
        <v>1070</v>
      </c>
      <c r="G168" s="347"/>
      <c r="H168" s="338" t="s">
        <v>8</v>
      </c>
    </row>
    <row r="169" spans="5:8" x14ac:dyDescent="0.25">
      <c r="E169" s="20" t="s">
        <v>231</v>
      </c>
      <c r="F169" s="26"/>
      <c r="G169" s="344"/>
    </row>
    <row r="170" spans="5:8" x14ac:dyDescent="0.25">
      <c r="F170" s="21" t="s">
        <v>1102</v>
      </c>
      <c r="G170" s="344">
        <f>35*0.7*0.1</f>
        <v>2.4500000000000002</v>
      </c>
      <c r="H170" s="338" t="s">
        <v>4</v>
      </c>
    </row>
    <row r="171" spans="5:8" x14ac:dyDescent="0.25">
      <c r="F171" s="21" t="s">
        <v>1073</v>
      </c>
      <c r="G171" s="344">
        <f>(G180+9)*0.6*1</f>
        <v>66.899999999999991</v>
      </c>
      <c r="H171" s="338" t="s">
        <v>4</v>
      </c>
    </row>
    <row r="172" spans="5:8" x14ac:dyDescent="0.25">
      <c r="F172" s="21" t="s">
        <v>81</v>
      </c>
      <c r="G172" s="344">
        <f>(G180+9)*0.6*(0.1+0.125+0.1)</f>
        <v>21.7425</v>
      </c>
      <c r="H172" s="338" t="s">
        <v>4</v>
      </c>
    </row>
    <row r="173" spans="5:8" x14ac:dyDescent="0.25">
      <c r="F173" s="21" t="s">
        <v>1103</v>
      </c>
      <c r="G173" s="344">
        <f>G171-G172</f>
        <v>45.157499999999992</v>
      </c>
      <c r="H173" s="338" t="s">
        <v>4</v>
      </c>
    </row>
    <row r="174" spans="5:8" x14ac:dyDescent="0.25">
      <c r="F174" s="21" t="s">
        <v>1104</v>
      </c>
      <c r="G174" s="344">
        <f>G170</f>
        <v>2.4500000000000002</v>
      </c>
      <c r="H174" s="338" t="s">
        <v>4</v>
      </c>
    </row>
    <row r="175" spans="5:8" x14ac:dyDescent="0.25">
      <c r="F175" s="21" t="s">
        <v>232</v>
      </c>
      <c r="G175" s="344">
        <v>3</v>
      </c>
      <c r="H175" s="331" t="s">
        <v>1</v>
      </c>
    </row>
    <row r="176" spans="5:8" x14ac:dyDescent="0.25">
      <c r="F176" s="21" t="s">
        <v>233</v>
      </c>
      <c r="G176" s="344">
        <v>5</v>
      </c>
      <c r="H176" s="331" t="s">
        <v>1</v>
      </c>
    </row>
    <row r="177" spans="5:12" x14ac:dyDescent="0.25">
      <c r="F177" s="21" t="s">
        <v>234</v>
      </c>
      <c r="G177" s="344">
        <v>1</v>
      </c>
      <c r="H177" s="331" t="s">
        <v>1</v>
      </c>
    </row>
    <row r="178" spans="5:12" x14ac:dyDescent="0.25">
      <c r="F178" s="21" t="s">
        <v>235</v>
      </c>
      <c r="G178" s="344">
        <v>1</v>
      </c>
      <c r="H178" s="331" t="s">
        <v>1</v>
      </c>
    </row>
    <row r="179" spans="5:12" x14ac:dyDescent="0.25">
      <c r="F179" s="21" t="s">
        <v>236</v>
      </c>
      <c r="G179" s="344">
        <v>1</v>
      </c>
      <c r="H179" s="331" t="s">
        <v>1</v>
      </c>
    </row>
    <row r="180" spans="5:12" x14ac:dyDescent="0.25">
      <c r="F180" s="21" t="s">
        <v>1105</v>
      </c>
      <c r="G180" s="344">
        <f>18+8.5+13+13+9.5+13+9.5+3.5+14.5</f>
        <v>102.5</v>
      </c>
      <c r="H180" s="331" t="s">
        <v>75</v>
      </c>
    </row>
    <row r="181" spans="5:12" x14ac:dyDescent="0.25">
      <c r="F181" s="21" t="s">
        <v>237</v>
      </c>
      <c r="G181" s="344">
        <v>7</v>
      </c>
      <c r="H181" s="331" t="s">
        <v>1</v>
      </c>
      <c r="J181" t="s">
        <v>238</v>
      </c>
    </row>
    <row r="182" spans="5:12" x14ac:dyDescent="0.25">
      <c r="F182" s="21" t="s">
        <v>239</v>
      </c>
      <c r="G182" s="344">
        <v>7</v>
      </c>
      <c r="H182" s="331" t="s">
        <v>1</v>
      </c>
      <c r="J182" t="s">
        <v>240</v>
      </c>
    </row>
    <row r="183" spans="5:12" x14ac:dyDescent="0.25">
      <c r="F183" s="21" t="s">
        <v>241</v>
      </c>
      <c r="G183" s="344">
        <v>1</v>
      </c>
      <c r="H183" s="338" t="s">
        <v>1</v>
      </c>
    </row>
    <row r="184" spans="5:12" x14ac:dyDescent="0.25">
      <c r="F184" s="21" t="s">
        <v>1070</v>
      </c>
      <c r="G184" s="344">
        <v>10</v>
      </c>
      <c r="H184" s="338" t="s">
        <v>8</v>
      </c>
    </row>
    <row r="185" spans="5:12" x14ac:dyDescent="0.25">
      <c r="E185" s="343" t="s">
        <v>242</v>
      </c>
      <c r="F185" s="19"/>
    </row>
    <row r="186" spans="5:12" x14ac:dyDescent="0.25">
      <c r="E186" s="335"/>
      <c r="F186" s="19" t="s">
        <v>1106</v>
      </c>
      <c r="G186" s="330">
        <v>60</v>
      </c>
      <c r="H186" s="338" t="s">
        <v>1</v>
      </c>
      <c r="J186" s="22" t="s">
        <v>243</v>
      </c>
      <c r="K186" s="332">
        <v>28.64</v>
      </c>
      <c r="L186" s="332">
        <f>G186*K186</f>
        <v>1718.4</v>
      </c>
    </row>
    <row r="187" spans="5:12" x14ac:dyDescent="0.25">
      <c r="E187" s="335"/>
      <c r="F187" s="19" t="s">
        <v>244</v>
      </c>
      <c r="G187" s="330">
        <v>60</v>
      </c>
      <c r="H187" s="338" t="s">
        <v>1</v>
      </c>
      <c r="J187" s="22" t="s">
        <v>243</v>
      </c>
      <c r="K187" s="332">
        <v>28.64</v>
      </c>
      <c r="L187" s="332">
        <f t="shared" ref="L187:L191" si="5">G187*K187</f>
        <v>1718.4</v>
      </c>
    </row>
    <row r="188" spans="5:12" x14ac:dyDescent="0.25">
      <c r="E188" s="348"/>
      <c r="F188" s="19" t="s">
        <v>1107</v>
      </c>
      <c r="G188" s="330">
        <v>60</v>
      </c>
      <c r="H188" s="338" t="s">
        <v>1</v>
      </c>
      <c r="J188" s="22" t="s">
        <v>245</v>
      </c>
      <c r="K188" s="332">
        <v>54.58</v>
      </c>
      <c r="L188" s="332">
        <f t="shared" si="5"/>
        <v>3274.7999999999997</v>
      </c>
    </row>
    <row r="189" spans="5:12" x14ac:dyDescent="0.25">
      <c r="E189" s="348"/>
      <c r="F189" s="19" t="s">
        <v>1108</v>
      </c>
      <c r="G189" s="330">
        <v>60</v>
      </c>
      <c r="H189" s="338" t="s">
        <v>1</v>
      </c>
      <c r="J189" s="22" t="s">
        <v>246</v>
      </c>
      <c r="K189" s="332">
        <v>18.010000000000002</v>
      </c>
      <c r="L189" s="332">
        <f t="shared" si="5"/>
        <v>1080.6000000000001</v>
      </c>
    </row>
    <row r="190" spans="5:12" x14ac:dyDescent="0.25">
      <c r="E190" s="348"/>
      <c r="F190" s="19" t="s">
        <v>1109</v>
      </c>
      <c r="G190" s="330">
        <v>60</v>
      </c>
      <c r="H190" s="338" t="s">
        <v>1</v>
      </c>
      <c r="J190" s="22" t="s">
        <v>243</v>
      </c>
      <c r="K190" s="332">
        <v>28.64</v>
      </c>
      <c r="L190" s="332">
        <f t="shared" si="5"/>
        <v>1718.4</v>
      </c>
    </row>
    <row r="191" spans="5:12" x14ac:dyDescent="0.25">
      <c r="E191" s="348"/>
      <c r="F191" s="19" t="s">
        <v>1110</v>
      </c>
      <c r="G191" s="330">
        <v>120</v>
      </c>
      <c r="H191" s="338" t="s">
        <v>1</v>
      </c>
      <c r="J191" s="22" t="s">
        <v>247</v>
      </c>
      <c r="K191" s="332">
        <v>12.05</v>
      </c>
      <c r="L191" s="332">
        <f t="shared" si="5"/>
        <v>1446</v>
      </c>
    </row>
    <row r="192" spans="5:12" x14ac:dyDescent="0.25">
      <c r="E192" s="343" t="s">
        <v>248</v>
      </c>
      <c r="F192"/>
    </row>
    <row r="193" spans="4:12" x14ac:dyDescent="0.25">
      <c r="F193" s="19" t="s">
        <v>1111</v>
      </c>
      <c r="G193" s="330">
        <v>59</v>
      </c>
      <c r="H193" s="338" t="s">
        <v>1</v>
      </c>
      <c r="J193" s="22" t="s">
        <v>249</v>
      </c>
      <c r="K193" s="332">
        <f>259/1.19</f>
        <v>217.64705882352942</v>
      </c>
      <c r="L193" s="332">
        <f>G193*K193</f>
        <v>12841.176470588236</v>
      </c>
    </row>
    <row r="194" spans="4:12" x14ac:dyDescent="0.25">
      <c r="F194" s="19" t="s">
        <v>244</v>
      </c>
      <c r="G194" s="330">
        <v>59</v>
      </c>
      <c r="H194" s="338" t="s">
        <v>1</v>
      </c>
      <c r="J194" s="22" t="s">
        <v>250</v>
      </c>
      <c r="K194" s="332">
        <v>133.26</v>
      </c>
      <c r="L194" s="332">
        <f t="shared" ref="L194:L200" si="6">G194*K194</f>
        <v>7862.3399999999992</v>
      </c>
    </row>
    <row r="195" spans="4:12" x14ac:dyDescent="0.25">
      <c r="F195" s="19" t="s">
        <v>251</v>
      </c>
      <c r="G195" s="330">
        <v>59</v>
      </c>
      <c r="H195" s="338" t="s">
        <v>1</v>
      </c>
      <c r="J195" s="22" t="s">
        <v>252</v>
      </c>
      <c r="K195" s="332">
        <f>326/1.19</f>
        <v>273.94957983193279</v>
      </c>
      <c r="L195" s="332">
        <f t="shared" si="6"/>
        <v>16163.025210084035</v>
      </c>
    </row>
    <row r="196" spans="4:12" x14ac:dyDescent="0.25">
      <c r="F196" s="19" t="s">
        <v>253</v>
      </c>
      <c r="G196" s="330">
        <v>59</v>
      </c>
      <c r="H196" s="338" t="s">
        <v>1</v>
      </c>
      <c r="J196" s="22" t="s">
        <v>254</v>
      </c>
      <c r="K196" s="332">
        <v>350</v>
      </c>
      <c r="L196" s="332">
        <f t="shared" si="6"/>
        <v>20650</v>
      </c>
    </row>
    <row r="197" spans="4:12" x14ac:dyDescent="0.25">
      <c r="F197" s="19" t="s">
        <v>255</v>
      </c>
      <c r="G197" s="330">
        <v>60</v>
      </c>
      <c r="H197" s="338" t="s">
        <v>1</v>
      </c>
      <c r="J197" s="22" t="s">
        <v>256</v>
      </c>
      <c r="K197" s="332">
        <f>311/1.19</f>
        <v>261.34453781512605</v>
      </c>
      <c r="L197" s="332">
        <f t="shared" si="6"/>
        <v>15680.672268907563</v>
      </c>
    </row>
    <row r="198" spans="4:12" x14ac:dyDescent="0.25">
      <c r="F198" s="19" t="s">
        <v>257</v>
      </c>
      <c r="G198" s="330">
        <v>59</v>
      </c>
      <c r="H198" s="338" t="s">
        <v>1</v>
      </c>
      <c r="J198" s="22" t="s">
        <v>258</v>
      </c>
      <c r="K198" s="332">
        <v>217</v>
      </c>
      <c r="L198" s="332">
        <f t="shared" si="6"/>
        <v>12803</v>
      </c>
    </row>
    <row r="199" spans="4:12" x14ac:dyDescent="0.25">
      <c r="F199" s="19" t="s">
        <v>259</v>
      </c>
      <c r="G199" s="330">
        <v>59</v>
      </c>
      <c r="H199" s="338" t="s">
        <v>1</v>
      </c>
      <c r="J199" s="22" t="s">
        <v>250</v>
      </c>
      <c r="K199" s="332">
        <v>133.26</v>
      </c>
      <c r="L199" s="332">
        <f t="shared" si="6"/>
        <v>7862.3399999999992</v>
      </c>
    </row>
    <row r="200" spans="4:12" x14ac:dyDescent="0.25">
      <c r="F200" s="26" t="s">
        <v>1070</v>
      </c>
      <c r="G200" s="344"/>
      <c r="H200" s="338" t="s">
        <v>8</v>
      </c>
      <c r="K200" s="332">
        <v>25</v>
      </c>
      <c r="L200" s="332">
        <f t="shared" si="6"/>
        <v>0</v>
      </c>
    </row>
    <row r="201" spans="4:12" x14ac:dyDescent="0.25">
      <c r="D201" s="19" t="s">
        <v>107</v>
      </c>
      <c r="L201" s="332">
        <f>SUM(L202:L216)</f>
        <v>0</v>
      </c>
    </row>
    <row r="202" spans="4:12" x14ac:dyDescent="0.25">
      <c r="E202" s="20" t="s">
        <v>1112</v>
      </c>
    </row>
    <row r="203" spans="4:12" x14ac:dyDescent="0.25">
      <c r="F203" s="26" t="s">
        <v>1113</v>
      </c>
    </row>
    <row r="204" spans="4:12" x14ac:dyDescent="0.25">
      <c r="F204" s="21" t="s">
        <v>260</v>
      </c>
      <c r="G204" s="330">
        <f>60*1.2*0.6</f>
        <v>43.199999999999996</v>
      </c>
      <c r="H204" s="338" t="s">
        <v>3</v>
      </c>
    </row>
    <row r="205" spans="4:12" x14ac:dyDescent="0.25">
      <c r="F205" s="21" t="s">
        <v>1114</v>
      </c>
      <c r="G205" s="344">
        <v>59</v>
      </c>
      <c r="H205" s="338" t="s">
        <v>1</v>
      </c>
    </row>
    <row r="206" spans="4:12" x14ac:dyDescent="0.25">
      <c r="F206" s="21" t="s">
        <v>1115</v>
      </c>
      <c r="G206" s="344">
        <f>6*2+5+6*3*4</f>
        <v>89</v>
      </c>
      <c r="H206" s="338" t="s">
        <v>1</v>
      </c>
    </row>
    <row r="207" spans="4:12" x14ac:dyDescent="0.25">
      <c r="F207" s="21" t="s">
        <v>1116</v>
      </c>
      <c r="G207" s="344">
        <f>59+2</f>
        <v>61</v>
      </c>
      <c r="H207" s="338" t="s">
        <v>1</v>
      </c>
    </row>
    <row r="208" spans="4:12" x14ac:dyDescent="0.25">
      <c r="F208" s="21" t="s">
        <v>261</v>
      </c>
      <c r="G208" s="349">
        <f>9*3+G205</f>
        <v>86</v>
      </c>
      <c r="H208" s="338" t="s">
        <v>1</v>
      </c>
    </row>
    <row r="209" spans="3:12" x14ac:dyDescent="0.25">
      <c r="F209" s="21" t="s">
        <v>1117</v>
      </c>
      <c r="G209" s="349">
        <f>G205+G206+G207</f>
        <v>209</v>
      </c>
      <c r="H209" s="338" t="s">
        <v>1</v>
      </c>
    </row>
    <row r="210" spans="3:12" x14ac:dyDescent="0.25">
      <c r="F210" s="21" t="s">
        <v>1118</v>
      </c>
      <c r="G210" s="349">
        <f>G205+G206+G207</f>
        <v>209</v>
      </c>
      <c r="H210" s="338" t="s">
        <v>1</v>
      </c>
    </row>
    <row r="211" spans="3:12" x14ac:dyDescent="0.25">
      <c r="F211" s="21" t="s">
        <v>1119</v>
      </c>
      <c r="G211" s="344">
        <f>14*5*3</f>
        <v>210</v>
      </c>
      <c r="H211" s="338" t="s">
        <v>75</v>
      </c>
    </row>
    <row r="212" spans="3:12" x14ac:dyDescent="0.25">
      <c r="F212" s="21" t="s">
        <v>1120</v>
      </c>
      <c r="G212" s="344">
        <f>14*4*3</f>
        <v>168</v>
      </c>
      <c r="H212" s="338" t="s">
        <v>75</v>
      </c>
    </row>
    <row r="213" spans="3:12" x14ac:dyDescent="0.25">
      <c r="F213" s="21" t="s">
        <v>1082</v>
      </c>
      <c r="G213" s="344">
        <f>G212</f>
        <v>168</v>
      </c>
      <c r="H213" s="338" t="s">
        <v>75</v>
      </c>
    </row>
    <row r="214" spans="3:12" x14ac:dyDescent="0.25">
      <c r="F214" s="21" t="s">
        <v>1081</v>
      </c>
      <c r="G214" s="344">
        <f>G213/0.75</f>
        <v>224</v>
      </c>
      <c r="H214" s="338" t="s">
        <v>1</v>
      </c>
    </row>
    <row r="215" spans="3:12" x14ac:dyDescent="0.25">
      <c r="F215" s="21" t="s">
        <v>1121</v>
      </c>
      <c r="G215" s="344">
        <f>32*2*0.3</f>
        <v>19.2</v>
      </c>
      <c r="H215" s="338" t="s">
        <v>75</v>
      </c>
      <c r="I215" s="22" t="s">
        <v>262</v>
      </c>
    </row>
    <row r="216" spans="3:12" x14ac:dyDescent="0.25">
      <c r="F216" s="26" t="s">
        <v>1070</v>
      </c>
      <c r="G216" s="344"/>
      <c r="H216" s="338" t="s">
        <v>8</v>
      </c>
    </row>
    <row r="217" spans="3:12" x14ac:dyDescent="0.25">
      <c r="D217" s="19" t="s">
        <v>108</v>
      </c>
      <c r="L217" s="332">
        <v>0</v>
      </c>
    </row>
    <row r="218" spans="3:12" x14ac:dyDescent="0.25">
      <c r="D218" s="19" t="s">
        <v>109</v>
      </c>
      <c r="L218" s="332">
        <v>0</v>
      </c>
    </row>
    <row r="219" spans="3:12" x14ac:dyDescent="0.25">
      <c r="C219" s="335" t="s">
        <v>110</v>
      </c>
      <c r="D219" s="335"/>
      <c r="F219" s="348"/>
      <c r="G219" s="350"/>
      <c r="H219" s="351"/>
      <c r="I219" s="343"/>
      <c r="J219" s="343"/>
      <c r="K219" s="336"/>
      <c r="L219" s="336">
        <v>0</v>
      </c>
    </row>
    <row r="220" spans="3:12" x14ac:dyDescent="0.25">
      <c r="C220" s="335" t="s">
        <v>111</v>
      </c>
      <c r="D220" s="335"/>
      <c r="F220" s="348"/>
      <c r="G220" s="350"/>
      <c r="H220" s="351"/>
      <c r="I220" s="343"/>
      <c r="J220" s="343"/>
      <c r="K220" s="336"/>
      <c r="L220" s="336">
        <f>SUM(L221:L228)</f>
        <v>19659.109243697483</v>
      </c>
    </row>
    <row r="221" spans="3:12" x14ac:dyDescent="0.25">
      <c r="C221" s="335"/>
      <c r="E221" s="343" t="s">
        <v>760</v>
      </c>
    </row>
    <row r="222" spans="3:12" x14ac:dyDescent="0.25">
      <c r="C222" s="335"/>
      <c r="F222" s="19" t="s">
        <v>263</v>
      </c>
      <c r="G222" s="330">
        <v>59</v>
      </c>
      <c r="H222" s="338" t="s">
        <v>1</v>
      </c>
      <c r="J222" s="22" t="s">
        <v>264</v>
      </c>
      <c r="K222" s="332">
        <v>75</v>
      </c>
      <c r="L222" s="332">
        <f t="shared" ref="L222:L228" si="7">G222*K222</f>
        <v>4425</v>
      </c>
    </row>
    <row r="223" spans="3:12" x14ac:dyDescent="0.25">
      <c r="C223" s="335"/>
      <c r="F223" s="19" t="s">
        <v>265</v>
      </c>
      <c r="G223" s="330">
        <v>59</v>
      </c>
      <c r="H223" s="338" t="s">
        <v>1</v>
      </c>
      <c r="J223" s="22" t="s">
        <v>266</v>
      </c>
      <c r="K223" s="340">
        <f>26.87/1.19</f>
        <v>22.579831932773111</v>
      </c>
      <c r="L223" s="332">
        <f t="shared" si="7"/>
        <v>1332.2100840336136</v>
      </c>
    </row>
    <row r="224" spans="3:12" x14ac:dyDescent="0.25">
      <c r="C224" s="335"/>
      <c r="F224" s="19" t="s">
        <v>267</v>
      </c>
      <c r="G224" s="330">
        <v>59</v>
      </c>
      <c r="H224" s="338" t="s">
        <v>1</v>
      </c>
      <c r="J224" s="22" t="s">
        <v>268</v>
      </c>
      <c r="K224" s="332">
        <f>52.78/1.19</f>
        <v>44.352941176470594</v>
      </c>
      <c r="L224" s="332">
        <f t="shared" si="7"/>
        <v>2616.8235294117649</v>
      </c>
    </row>
    <row r="225" spans="1:12" x14ac:dyDescent="0.25">
      <c r="C225" s="335"/>
      <c r="F225" s="19" t="s">
        <v>269</v>
      </c>
      <c r="G225" s="330">
        <v>59</v>
      </c>
      <c r="H225" s="338" t="s">
        <v>1</v>
      </c>
      <c r="J225" s="22" t="s">
        <v>270</v>
      </c>
      <c r="K225" s="332">
        <f>98.18/1.19</f>
        <v>82.504201680672281</v>
      </c>
      <c r="L225" s="332">
        <f t="shared" si="7"/>
        <v>4867.7478991596645</v>
      </c>
    </row>
    <row r="226" spans="1:12" x14ac:dyDescent="0.25">
      <c r="C226" s="335"/>
      <c r="F226" s="19" t="s">
        <v>271</v>
      </c>
      <c r="G226" s="330">
        <v>59</v>
      </c>
      <c r="H226" s="338" t="s">
        <v>1</v>
      </c>
      <c r="J226" s="22" t="s">
        <v>272</v>
      </c>
      <c r="K226" s="332">
        <f>49.59/1.19</f>
        <v>41.67226890756303</v>
      </c>
      <c r="L226" s="332">
        <f t="shared" si="7"/>
        <v>2458.6638655462189</v>
      </c>
    </row>
    <row r="227" spans="1:12" x14ac:dyDescent="0.25">
      <c r="C227" s="335"/>
      <c r="F227" s="19" t="s">
        <v>273</v>
      </c>
      <c r="G227" s="330">
        <v>59</v>
      </c>
      <c r="H227" s="338" t="s">
        <v>1</v>
      </c>
      <c r="J227" s="22" t="s">
        <v>274</v>
      </c>
      <c r="K227" s="332">
        <f>49.59/1.19</f>
        <v>41.67226890756303</v>
      </c>
      <c r="L227" s="332">
        <f t="shared" si="7"/>
        <v>2458.6638655462189</v>
      </c>
    </row>
    <row r="228" spans="1:12" x14ac:dyDescent="0.25">
      <c r="C228" s="335"/>
      <c r="F228" s="19" t="s">
        <v>275</v>
      </c>
      <c r="G228" s="330">
        <f>3*5</f>
        <v>15</v>
      </c>
      <c r="H228" s="338" t="s">
        <v>1</v>
      </c>
      <c r="I228" s="22" t="s">
        <v>276</v>
      </c>
      <c r="J228" s="22" t="s">
        <v>277</v>
      </c>
      <c r="K228" s="332">
        <f>100</f>
        <v>100</v>
      </c>
      <c r="L228" s="332">
        <f t="shared" si="7"/>
        <v>1500</v>
      </c>
    </row>
    <row r="230" spans="1:12" ht="16.5" x14ac:dyDescent="0.35">
      <c r="A230" s="352" t="s">
        <v>1122</v>
      </c>
      <c r="B230" s="342" t="s">
        <v>1123</v>
      </c>
      <c r="L230" s="333">
        <f>L231+L287+L289</f>
        <v>15204.342857142856</v>
      </c>
    </row>
    <row r="231" spans="1:12" x14ac:dyDescent="0.25">
      <c r="C231" s="335" t="s">
        <v>89</v>
      </c>
      <c r="L231" s="336">
        <f>L232+L233+L234+L238+L249+L267+L278+L279+L280+L286</f>
        <v>0</v>
      </c>
    </row>
    <row r="232" spans="1:12" x14ac:dyDescent="0.25">
      <c r="D232" s="19" t="s">
        <v>90</v>
      </c>
      <c r="L232" s="332">
        <v>0</v>
      </c>
    </row>
    <row r="233" spans="1:12" x14ac:dyDescent="0.25">
      <c r="D233" s="19" t="s">
        <v>91</v>
      </c>
      <c r="L233" s="332">
        <v>0</v>
      </c>
    </row>
    <row r="234" spans="1:12" x14ac:dyDescent="0.25">
      <c r="D234" s="19" t="s">
        <v>99</v>
      </c>
      <c r="L234" s="332">
        <f>SUM(L235:L237)</f>
        <v>0</v>
      </c>
    </row>
    <row r="235" spans="1:12" x14ac:dyDescent="0.25">
      <c r="E235" s="343"/>
      <c r="F235" s="19"/>
    </row>
    <row r="236" spans="1:12" x14ac:dyDescent="0.25">
      <c r="E236" s="343"/>
      <c r="F236" s="19"/>
      <c r="H236" s="338"/>
    </row>
    <row r="237" spans="1:12" x14ac:dyDescent="0.25">
      <c r="E237" s="343"/>
      <c r="F237" s="19"/>
      <c r="G237" s="344"/>
      <c r="H237" s="338"/>
    </row>
    <row r="238" spans="1:12" x14ac:dyDescent="0.25">
      <c r="D238" s="19" t="s">
        <v>104</v>
      </c>
      <c r="L238" s="332">
        <f>SUM(L239:L248)</f>
        <v>0</v>
      </c>
    </row>
    <row r="239" spans="1:12" x14ac:dyDescent="0.25">
      <c r="E239" s="20" t="s">
        <v>1124</v>
      </c>
    </row>
    <row r="240" spans="1:12" x14ac:dyDescent="0.25">
      <c r="F240" s="21" t="s">
        <v>280</v>
      </c>
      <c r="G240" s="353">
        <f>14*3+25+18*3+6*3</f>
        <v>139</v>
      </c>
      <c r="H240" s="331" t="s">
        <v>1</v>
      </c>
    </row>
    <row r="241" spans="4:12" x14ac:dyDescent="0.25">
      <c r="F241" s="21" t="s">
        <v>281</v>
      </c>
      <c r="G241" s="353">
        <f>5*3+19+6*3*3+6*3</f>
        <v>106</v>
      </c>
      <c r="H241" s="331" t="s">
        <v>1</v>
      </c>
    </row>
    <row r="242" spans="4:12" x14ac:dyDescent="0.25">
      <c r="F242" s="21" t="s">
        <v>1125</v>
      </c>
      <c r="G242" s="353">
        <f>(113+15*3+14*3*5+1*59+18)*1.5</f>
        <v>667.5</v>
      </c>
      <c r="H242" s="338" t="s">
        <v>75</v>
      </c>
    </row>
    <row r="243" spans="4:12" x14ac:dyDescent="0.25">
      <c r="F243" s="21" t="s">
        <v>1126</v>
      </c>
      <c r="G243" s="353">
        <f>G242</f>
        <v>667.5</v>
      </c>
      <c r="H243" s="338" t="s">
        <v>75</v>
      </c>
    </row>
    <row r="244" spans="4:12" x14ac:dyDescent="0.25">
      <c r="F244" s="21" t="s">
        <v>1125</v>
      </c>
      <c r="G244" s="353">
        <f>18*1.5</f>
        <v>27</v>
      </c>
      <c r="H244" s="338" t="s">
        <v>75</v>
      </c>
    </row>
    <row r="245" spans="4:12" x14ac:dyDescent="0.25">
      <c r="F245" s="21" t="s">
        <v>1126</v>
      </c>
      <c r="G245" s="353">
        <f>G244</f>
        <v>27</v>
      </c>
      <c r="H245" s="338" t="s">
        <v>75</v>
      </c>
    </row>
    <row r="246" spans="4:12" x14ac:dyDescent="0.25">
      <c r="F246" s="21" t="s">
        <v>201</v>
      </c>
      <c r="G246" s="353">
        <f>5*3+1+3*5</f>
        <v>31</v>
      </c>
      <c r="H246" s="338" t="s">
        <v>1</v>
      </c>
    </row>
    <row r="247" spans="4:12" x14ac:dyDescent="0.25">
      <c r="F247" s="21" t="s">
        <v>203</v>
      </c>
      <c r="G247" s="353">
        <f>(G240+G241)*2*2</f>
        <v>980</v>
      </c>
      <c r="H247" s="338" t="s">
        <v>1</v>
      </c>
    </row>
    <row r="248" spans="4:12" x14ac:dyDescent="0.25">
      <c r="F248" s="21" t="s">
        <v>1070</v>
      </c>
      <c r="G248" s="353">
        <v>1</v>
      </c>
      <c r="H248" s="338" t="s">
        <v>8</v>
      </c>
    </row>
    <row r="249" spans="4:12" x14ac:dyDescent="0.25">
      <c r="D249" s="19" t="s">
        <v>105</v>
      </c>
      <c r="L249" s="332">
        <f>SUM(L250:L266)</f>
        <v>0</v>
      </c>
    </row>
    <row r="250" spans="4:12" x14ac:dyDescent="0.25">
      <c r="E250" s="20" t="s">
        <v>282</v>
      </c>
    </row>
    <row r="251" spans="4:12" x14ac:dyDescent="0.25">
      <c r="F251" s="21" t="s">
        <v>283</v>
      </c>
      <c r="G251" s="330">
        <v>3</v>
      </c>
      <c r="H251" s="338" t="s">
        <v>1</v>
      </c>
    </row>
    <row r="252" spans="4:12" x14ac:dyDescent="0.25">
      <c r="F252" s="21" t="s">
        <v>284</v>
      </c>
      <c r="G252" s="330">
        <v>3</v>
      </c>
      <c r="H252" s="338" t="s">
        <v>1</v>
      </c>
    </row>
    <row r="253" spans="4:12" x14ac:dyDescent="0.25">
      <c r="F253" s="21" t="s">
        <v>285</v>
      </c>
      <c r="G253" s="330">
        <v>1</v>
      </c>
      <c r="H253" s="338" t="s">
        <v>1</v>
      </c>
    </row>
    <row r="254" spans="4:12" x14ac:dyDescent="0.25">
      <c r="F254" s="21" t="s">
        <v>286</v>
      </c>
      <c r="G254" s="330">
        <v>1</v>
      </c>
      <c r="H254" s="338" t="s">
        <v>1</v>
      </c>
    </row>
    <row r="255" spans="4:12" x14ac:dyDescent="0.25">
      <c r="F255" s="21" t="s">
        <v>1127</v>
      </c>
      <c r="G255" s="330">
        <f>3*5</f>
        <v>15</v>
      </c>
      <c r="H255" s="338" t="s">
        <v>1</v>
      </c>
    </row>
    <row r="256" spans="4:12" x14ac:dyDescent="0.25">
      <c r="F256" s="21" t="s">
        <v>287</v>
      </c>
      <c r="G256" s="330">
        <f>2*3*5</f>
        <v>30</v>
      </c>
      <c r="H256" s="338" t="s">
        <v>1</v>
      </c>
    </row>
    <row r="257" spans="5:12" x14ac:dyDescent="0.25">
      <c r="F257" s="21" t="s">
        <v>288</v>
      </c>
      <c r="G257" s="330">
        <v>60</v>
      </c>
      <c r="H257" s="338" t="s">
        <v>1</v>
      </c>
    </row>
    <row r="258" spans="5:12" x14ac:dyDescent="0.25">
      <c r="F258" s="21" t="s">
        <v>289</v>
      </c>
      <c r="G258" s="330">
        <v>60</v>
      </c>
      <c r="H258" s="338" t="s">
        <v>1</v>
      </c>
    </row>
    <row r="259" spans="5:12" x14ac:dyDescent="0.25">
      <c r="F259" s="21" t="s">
        <v>290</v>
      </c>
      <c r="G259" s="330">
        <v>60</v>
      </c>
      <c r="H259" s="338" t="s">
        <v>1</v>
      </c>
    </row>
    <row r="260" spans="5:12" x14ac:dyDescent="0.25">
      <c r="F260" s="21" t="s">
        <v>291</v>
      </c>
      <c r="G260" s="330">
        <f>32.1*1.25*3*5</f>
        <v>601.875</v>
      </c>
      <c r="H260" s="338" t="s">
        <v>75</v>
      </c>
    </row>
    <row r="261" spans="5:12" x14ac:dyDescent="0.25">
      <c r="F261" s="21" t="s">
        <v>292</v>
      </c>
      <c r="G261" s="330">
        <f>12.5*60*1.25</f>
        <v>937.5</v>
      </c>
      <c r="H261" s="338" t="s">
        <v>75</v>
      </c>
    </row>
    <row r="262" spans="5:12" x14ac:dyDescent="0.25">
      <c r="F262" s="21" t="s">
        <v>293</v>
      </c>
      <c r="G262" s="330">
        <f>12.5*60*1.25</f>
        <v>937.5</v>
      </c>
      <c r="H262" s="338" t="s">
        <v>75</v>
      </c>
    </row>
    <row r="263" spans="5:12" x14ac:dyDescent="0.25">
      <c r="F263" s="21" t="s">
        <v>294</v>
      </c>
      <c r="G263" s="330">
        <f>20*3+10</f>
        <v>70</v>
      </c>
      <c r="H263" s="338" t="s">
        <v>75</v>
      </c>
    </row>
    <row r="264" spans="5:12" x14ac:dyDescent="0.25">
      <c r="F264" s="21" t="s">
        <v>1125</v>
      </c>
      <c r="G264" s="330">
        <f>G260+G261+G262</f>
        <v>2476.875</v>
      </c>
      <c r="H264" s="338" t="s">
        <v>75</v>
      </c>
    </row>
    <row r="265" spans="5:12" x14ac:dyDescent="0.25">
      <c r="F265" s="21" t="s">
        <v>1128</v>
      </c>
      <c r="G265" s="330">
        <v>1</v>
      </c>
      <c r="H265" s="338" t="s">
        <v>1</v>
      </c>
    </row>
    <row r="266" spans="5:12" x14ac:dyDescent="0.25">
      <c r="F266" s="21" t="s">
        <v>295</v>
      </c>
      <c r="G266" s="330">
        <v>1</v>
      </c>
      <c r="H266" s="338" t="s">
        <v>8</v>
      </c>
    </row>
    <row r="267" spans="5:12" x14ac:dyDescent="0.25">
      <c r="E267" s="20" t="s">
        <v>296</v>
      </c>
      <c r="H267" s="338"/>
      <c r="L267" s="332">
        <f>SUM(L268:L277)</f>
        <v>0</v>
      </c>
    </row>
    <row r="268" spans="5:12" x14ac:dyDescent="0.25">
      <c r="F268" s="21" t="s">
        <v>297</v>
      </c>
      <c r="G268" s="330">
        <f>5*3+9*2+10+9*3*3+9*3</f>
        <v>151</v>
      </c>
      <c r="H268" s="338" t="s">
        <v>1</v>
      </c>
    </row>
    <row r="269" spans="5:12" x14ac:dyDescent="0.25">
      <c r="F269" s="21" t="s">
        <v>298</v>
      </c>
      <c r="G269" s="330">
        <f>3*3*6+1</f>
        <v>55</v>
      </c>
      <c r="H269" s="338" t="s">
        <v>1</v>
      </c>
    </row>
    <row r="270" spans="5:12" x14ac:dyDescent="0.25">
      <c r="F270" s="21" t="s">
        <v>299</v>
      </c>
      <c r="G270" s="330">
        <v>2</v>
      </c>
      <c r="H270" s="338" t="s">
        <v>1</v>
      </c>
    </row>
    <row r="271" spans="5:12" x14ac:dyDescent="0.25">
      <c r="F271" s="21" t="s">
        <v>300</v>
      </c>
      <c r="G271" s="330">
        <v>1</v>
      </c>
      <c r="H271" s="338" t="s">
        <v>1</v>
      </c>
    </row>
    <row r="272" spans="5:12" x14ac:dyDescent="0.25">
      <c r="F272" s="21" t="s">
        <v>301</v>
      </c>
      <c r="G272" s="330">
        <v>3</v>
      </c>
      <c r="H272" s="338" t="s">
        <v>1</v>
      </c>
    </row>
    <row r="273" spans="3:12" x14ac:dyDescent="0.25">
      <c r="F273" s="21" t="s">
        <v>302</v>
      </c>
      <c r="G273" s="330">
        <v>1</v>
      </c>
      <c r="H273" s="338" t="s">
        <v>1</v>
      </c>
    </row>
    <row r="274" spans="3:12" x14ac:dyDescent="0.25">
      <c r="F274" s="21" t="s">
        <v>303</v>
      </c>
      <c r="G274" s="330">
        <f>(60*3+60+95.5*14+105)*1.25</f>
        <v>2102.5</v>
      </c>
      <c r="H274" s="338" t="s">
        <v>75</v>
      </c>
    </row>
    <row r="275" spans="3:12" x14ac:dyDescent="0.25">
      <c r="F275" s="21" t="s">
        <v>1125</v>
      </c>
      <c r="G275" s="330">
        <f>G274</f>
        <v>2102.5</v>
      </c>
      <c r="H275" s="338" t="s">
        <v>75</v>
      </c>
    </row>
    <row r="276" spans="3:12" x14ac:dyDescent="0.25">
      <c r="F276" s="21" t="s">
        <v>304</v>
      </c>
      <c r="G276" s="330">
        <v>1</v>
      </c>
      <c r="H276" s="338" t="s">
        <v>1</v>
      </c>
    </row>
    <row r="277" spans="3:12" x14ac:dyDescent="0.25">
      <c r="F277" s="26" t="s">
        <v>1070</v>
      </c>
      <c r="G277" s="344"/>
      <c r="H277" s="338"/>
    </row>
    <row r="278" spans="3:12" x14ac:dyDescent="0.25">
      <c r="D278" s="19" t="s">
        <v>106</v>
      </c>
      <c r="L278" s="332">
        <v>0</v>
      </c>
    </row>
    <row r="279" spans="3:12" x14ac:dyDescent="0.25">
      <c r="D279" s="19" t="s">
        <v>107</v>
      </c>
      <c r="L279" s="332">
        <v>0</v>
      </c>
    </row>
    <row r="280" spans="3:12" x14ac:dyDescent="0.25">
      <c r="D280" s="19" t="s">
        <v>108</v>
      </c>
      <c r="L280" s="332">
        <f>SUM(L281:L285)</f>
        <v>0</v>
      </c>
    </row>
    <row r="281" spans="3:12" x14ac:dyDescent="0.25">
      <c r="E281" s="20" t="s">
        <v>305</v>
      </c>
    </row>
    <row r="282" spans="3:12" x14ac:dyDescent="0.25">
      <c r="F282" s="21" t="s">
        <v>1091</v>
      </c>
      <c r="G282" s="330">
        <f>0.25*59+14*12</f>
        <v>182.75</v>
      </c>
      <c r="H282" s="338" t="s">
        <v>75</v>
      </c>
    </row>
    <row r="283" spans="3:12" x14ac:dyDescent="0.25">
      <c r="F283" s="21" t="s">
        <v>1129</v>
      </c>
      <c r="G283" s="330">
        <f>59</f>
        <v>59</v>
      </c>
      <c r="H283" s="338" t="s">
        <v>1</v>
      </c>
    </row>
    <row r="284" spans="3:12" x14ac:dyDescent="0.25">
      <c r="F284" s="21" t="s">
        <v>1130</v>
      </c>
      <c r="G284" s="330">
        <v>12</v>
      </c>
      <c r="H284" s="338" t="s">
        <v>1</v>
      </c>
    </row>
    <row r="285" spans="3:12" x14ac:dyDescent="0.25">
      <c r="F285" s="26" t="s">
        <v>1070</v>
      </c>
      <c r="G285" s="344"/>
      <c r="H285" s="338"/>
    </row>
    <row r="286" spans="3:12" x14ac:dyDescent="0.25">
      <c r="D286" s="19" t="s">
        <v>109</v>
      </c>
      <c r="L286" s="332">
        <v>0</v>
      </c>
    </row>
    <row r="287" spans="3:12" x14ac:dyDescent="0.25">
      <c r="C287" s="335" t="s">
        <v>110</v>
      </c>
      <c r="L287" s="336">
        <f>L288</f>
        <v>2534.0571428571429</v>
      </c>
    </row>
    <row r="288" spans="3:12" x14ac:dyDescent="0.25">
      <c r="C288" s="335"/>
      <c r="F288" s="19" t="s">
        <v>1131</v>
      </c>
      <c r="L288" s="332">
        <f>(L291+L292)*0.2</f>
        <v>2534.0571428571429</v>
      </c>
    </row>
    <row r="289" spans="1:12" x14ac:dyDescent="0.25">
      <c r="C289" s="335" t="s">
        <v>111</v>
      </c>
      <c r="L289" s="336">
        <f>SUM(L290:L292)</f>
        <v>12670.285714285714</v>
      </c>
    </row>
    <row r="290" spans="1:12" x14ac:dyDescent="0.25">
      <c r="C290" s="335"/>
      <c r="E290" s="343" t="s">
        <v>955</v>
      </c>
      <c r="F290" s="19"/>
    </row>
    <row r="291" spans="1:12" x14ac:dyDescent="0.25">
      <c r="C291" s="335"/>
      <c r="E291" s="343"/>
      <c r="F291" s="19" t="s">
        <v>306</v>
      </c>
      <c r="G291" s="330">
        <v>59</v>
      </c>
      <c r="H291" s="331" t="s">
        <v>1</v>
      </c>
      <c r="J291" s="22" t="s">
        <v>307</v>
      </c>
      <c r="K291" s="332">
        <f>119.96/1.19</f>
        <v>100.80672268907563</v>
      </c>
      <c r="L291" s="332">
        <f>G291*K291</f>
        <v>5947.5966386554619</v>
      </c>
    </row>
    <row r="292" spans="1:12" x14ac:dyDescent="0.25">
      <c r="C292" s="335"/>
      <c r="F292" s="19" t="s">
        <v>308</v>
      </c>
      <c r="G292" s="330">
        <v>4</v>
      </c>
      <c r="H292" s="338" t="s">
        <v>1</v>
      </c>
      <c r="J292" s="22" t="s">
        <v>309</v>
      </c>
      <c r="K292" s="332">
        <f>2000/1.19</f>
        <v>1680.6722689075632</v>
      </c>
      <c r="L292" s="332">
        <f>G292*K292</f>
        <v>6722.6890756302528</v>
      </c>
    </row>
    <row r="294" spans="1:12" ht="16.5" x14ac:dyDescent="0.35">
      <c r="A294" s="352" t="s">
        <v>1122</v>
      </c>
      <c r="B294" s="342" t="s">
        <v>1132</v>
      </c>
      <c r="L294" s="333">
        <f>L295+L364+L367</f>
        <v>131753.0512605042</v>
      </c>
    </row>
    <row r="295" spans="1:12" x14ac:dyDescent="0.25">
      <c r="C295" s="335" t="s">
        <v>89</v>
      </c>
      <c r="L295" s="336">
        <f>L296+L297+L298+L299+L318+L319+L332+L359+L360</f>
        <v>13676.873109243697</v>
      </c>
    </row>
    <row r="296" spans="1:12" x14ac:dyDescent="0.25">
      <c r="D296" s="19" t="s">
        <v>90</v>
      </c>
      <c r="L296" s="332">
        <v>0</v>
      </c>
    </row>
    <row r="297" spans="1:12" x14ac:dyDescent="0.25">
      <c r="D297" s="19" t="s">
        <v>91</v>
      </c>
      <c r="L297" s="332">
        <v>0</v>
      </c>
    </row>
    <row r="298" spans="1:12" x14ac:dyDescent="0.25">
      <c r="D298" s="19" t="s">
        <v>99</v>
      </c>
      <c r="L298" s="332">
        <v>0</v>
      </c>
    </row>
    <row r="299" spans="1:12" x14ac:dyDescent="0.25">
      <c r="D299" s="19" t="s">
        <v>104</v>
      </c>
      <c r="L299" s="332">
        <f>SUM(L300:L317)</f>
        <v>13676.873109243697</v>
      </c>
    </row>
    <row r="300" spans="1:12" x14ac:dyDescent="0.25">
      <c r="E300" s="343" t="s">
        <v>1133</v>
      </c>
    </row>
    <row r="301" spans="1:12" x14ac:dyDescent="0.25">
      <c r="F301" s="19" t="s">
        <v>310</v>
      </c>
      <c r="G301" s="344">
        <v>10</v>
      </c>
      <c r="H301" s="338" t="s">
        <v>1</v>
      </c>
      <c r="J301" s="22" t="s">
        <v>311</v>
      </c>
      <c r="K301" s="332">
        <f>588.92/1.19*1.1</f>
        <v>544.37983193277307</v>
      </c>
      <c r="L301" s="332">
        <f>G301*K301</f>
        <v>5443.7983193277305</v>
      </c>
    </row>
    <row r="302" spans="1:12" x14ac:dyDescent="0.25">
      <c r="F302" s="19" t="s">
        <v>312</v>
      </c>
      <c r="G302" s="344">
        <v>1</v>
      </c>
      <c r="H302" s="338" t="s">
        <v>1</v>
      </c>
      <c r="J302" s="22" t="s">
        <v>311</v>
      </c>
      <c r="K302" s="332">
        <f>588.92/1.19*1.1</f>
        <v>544.37983193277307</v>
      </c>
      <c r="L302" s="332">
        <f t="shared" ref="L302:L317" si="8">G302*K302</f>
        <v>544.37983193277307</v>
      </c>
    </row>
    <row r="303" spans="1:12" x14ac:dyDescent="0.25">
      <c r="F303" s="19" t="s">
        <v>313</v>
      </c>
      <c r="G303" s="344">
        <v>1</v>
      </c>
      <c r="H303" s="338" t="s">
        <v>1</v>
      </c>
      <c r="J303" s="22" t="s">
        <v>314</v>
      </c>
      <c r="K303" s="332">
        <f>927.47/1.19*1.1</f>
        <v>857.32521008403364</v>
      </c>
      <c r="L303" s="332">
        <f t="shared" si="8"/>
        <v>857.32521008403364</v>
      </c>
    </row>
    <row r="304" spans="1:12" x14ac:dyDescent="0.25">
      <c r="F304" s="19" t="s">
        <v>1077</v>
      </c>
      <c r="G304" s="344">
        <f>1</f>
        <v>1</v>
      </c>
      <c r="H304" s="338" t="s">
        <v>1</v>
      </c>
      <c r="J304" s="22" t="s">
        <v>315</v>
      </c>
      <c r="K304" s="332">
        <f>123.22/1.19*1.1</f>
        <v>113.90084033613448</v>
      </c>
      <c r="L304" s="332">
        <f t="shared" si="8"/>
        <v>113.90084033613448</v>
      </c>
    </row>
    <row r="305" spans="4:12" x14ac:dyDescent="0.25">
      <c r="F305" s="19" t="s">
        <v>1078</v>
      </c>
      <c r="G305" s="344">
        <v>102</v>
      </c>
      <c r="H305" s="338" t="s">
        <v>75</v>
      </c>
      <c r="J305" s="22" t="s">
        <v>200</v>
      </c>
      <c r="K305" s="339">
        <v>6.5</v>
      </c>
      <c r="L305" s="332">
        <f t="shared" si="8"/>
        <v>663</v>
      </c>
    </row>
    <row r="306" spans="4:12" x14ac:dyDescent="0.25">
      <c r="F306" s="19" t="s">
        <v>316</v>
      </c>
      <c r="G306" s="344">
        <f>G305</f>
        <v>102</v>
      </c>
      <c r="H306" s="338" t="s">
        <v>75</v>
      </c>
      <c r="K306" s="332">
        <f>1.04/1.19</f>
        <v>0.87394957983193289</v>
      </c>
      <c r="L306" s="332">
        <f t="shared" si="8"/>
        <v>89.142857142857153</v>
      </c>
    </row>
    <row r="307" spans="4:12" x14ac:dyDescent="0.25">
      <c r="F307" s="19" t="s">
        <v>203</v>
      </c>
      <c r="G307" s="344">
        <f>3*G301+5*G302+3*G303+3*G304</f>
        <v>41</v>
      </c>
      <c r="H307" s="338" t="s">
        <v>1</v>
      </c>
      <c r="K307" s="332">
        <v>2</v>
      </c>
      <c r="L307" s="332">
        <f t="shared" si="8"/>
        <v>82</v>
      </c>
    </row>
    <row r="308" spans="4:12" x14ac:dyDescent="0.25">
      <c r="F308" s="19" t="s">
        <v>317</v>
      </c>
      <c r="G308" s="330">
        <v>2</v>
      </c>
      <c r="H308" s="331" t="s">
        <v>1</v>
      </c>
      <c r="J308" s="22" t="s">
        <v>318</v>
      </c>
      <c r="K308" s="332">
        <f>746.45/1.19*1.1</f>
        <v>689.99579831932795</v>
      </c>
      <c r="L308" s="332">
        <f t="shared" si="8"/>
        <v>1379.9915966386559</v>
      </c>
    </row>
    <row r="309" spans="4:12" x14ac:dyDescent="0.25">
      <c r="F309" s="19" t="s">
        <v>319</v>
      </c>
      <c r="G309" s="330">
        <v>3</v>
      </c>
      <c r="H309" s="331" t="s">
        <v>1</v>
      </c>
      <c r="J309" s="22" t="s">
        <v>320</v>
      </c>
      <c r="K309" s="332">
        <f>636.68/1.19*1.1</f>
        <v>588.52773109243697</v>
      </c>
      <c r="L309" s="332">
        <f t="shared" si="8"/>
        <v>1765.5831932773108</v>
      </c>
    </row>
    <row r="310" spans="4:12" x14ac:dyDescent="0.25">
      <c r="F310" s="19" t="s">
        <v>188</v>
      </c>
      <c r="G310" s="330">
        <f>1</f>
        <v>1</v>
      </c>
      <c r="H310" s="331" t="s">
        <v>1</v>
      </c>
      <c r="J310" s="22" t="s">
        <v>321</v>
      </c>
      <c r="K310" s="332">
        <f>364</f>
        <v>364</v>
      </c>
      <c r="L310" s="332">
        <f t="shared" si="8"/>
        <v>364</v>
      </c>
    </row>
    <row r="311" spans="4:12" x14ac:dyDescent="0.25">
      <c r="F311" s="19" t="s">
        <v>190</v>
      </c>
      <c r="G311" s="330">
        <f>2</f>
        <v>2</v>
      </c>
      <c r="H311" s="331" t="s">
        <v>1</v>
      </c>
      <c r="J311" s="22" t="s">
        <v>321</v>
      </c>
      <c r="K311" s="332">
        <f>364</f>
        <v>364</v>
      </c>
      <c r="L311" s="332">
        <f t="shared" si="8"/>
        <v>728</v>
      </c>
    </row>
    <row r="312" spans="4:12" x14ac:dyDescent="0.25">
      <c r="F312" s="19" t="s">
        <v>1134</v>
      </c>
      <c r="G312" s="330">
        <v>1</v>
      </c>
      <c r="H312" s="331" t="s">
        <v>1</v>
      </c>
      <c r="K312" s="332">
        <v>1000</v>
      </c>
      <c r="L312" s="332">
        <f t="shared" si="8"/>
        <v>1000</v>
      </c>
    </row>
    <row r="313" spans="4:12" x14ac:dyDescent="0.25">
      <c r="F313" s="19" t="s">
        <v>316</v>
      </c>
      <c r="G313" s="330">
        <f>48*1</f>
        <v>48</v>
      </c>
      <c r="H313" s="338" t="s">
        <v>75</v>
      </c>
      <c r="K313" s="332">
        <f>1.04/1.19</f>
        <v>0.87394957983193289</v>
      </c>
      <c r="L313" s="332">
        <f t="shared" si="8"/>
        <v>41.94957983193278</v>
      </c>
    </row>
    <row r="314" spans="4:12" x14ac:dyDescent="0.25">
      <c r="F314" s="19" t="s">
        <v>1078</v>
      </c>
      <c r="G314" s="330">
        <f>G313</f>
        <v>48</v>
      </c>
      <c r="H314" s="338" t="s">
        <v>75</v>
      </c>
      <c r="J314" s="22" t="s">
        <v>200</v>
      </c>
      <c r="K314" s="339">
        <v>6.5</v>
      </c>
      <c r="L314" s="332">
        <f t="shared" si="8"/>
        <v>312</v>
      </c>
    </row>
    <row r="315" spans="4:12" x14ac:dyDescent="0.25">
      <c r="F315" s="19" t="s">
        <v>1077</v>
      </c>
      <c r="G315" s="330">
        <v>2</v>
      </c>
      <c r="H315" s="338" t="s">
        <v>1</v>
      </c>
      <c r="J315" s="22" t="s">
        <v>315</v>
      </c>
      <c r="K315" s="332">
        <f>123.22/1.19*1.1</f>
        <v>113.90084033613448</v>
      </c>
      <c r="L315" s="332">
        <f t="shared" si="8"/>
        <v>227.80168067226896</v>
      </c>
    </row>
    <row r="316" spans="4:12" x14ac:dyDescent="0.25">
      <c r="F316" s="19" t="s">
        <v>203</v>
      </c>
      <c r="G316" s="330">
        <f>(G308+G309+G310+G311)*2*2</f>
        <v>32</v>
      </c>
      <c r="H316" s="338" t="s">
        <v>1</v>
      </c>
      <c r="K316" s="332">
        <v>2</v>
      </c>
      <c r="L316" s="332">
        <f t="shared" si="8"/>
        <v>64</v>
      </c>
    </row>
    <row r="317" spans="4:12" x14ac:dyDescent="0.25">
      <c r="F317" s="26" t="s">
        <v>1070</v>
      </c>
      <c r="G317" s="344"/>
      <c r="H317" s="338" t="s">
        <v>8</v>
      </c>
      <c r="L317" s="332">
        <f t="shared" si="8"/>
        <v>0</v>
      </c>
    </row>
    <row r="318" spans="4:12" x14ac:dyDescent="0.25">
      <c r="D318" s="19" t="s">
        <v>105</v>
      </c>
      <c r="L318" s="332">
        <v>0</v>
      </c>
    </row>
    <row r="319" spans="4:12" x14ac:dyDescent="0.25">
      <c r="D319" s="19" t="s">
        <v>106</v>
      </c>
      <c r="L319" s="332">
        <f>SUM(L320:L331)</f>
        <v>0</v>
      </c>
    </row>
    <row r="320" spans="4:12" x14ac:dyDescent="0.25">
      <c r="E320" s="20" t="s">
        <v>1135</v>
      </c>
    </row>
    <row r="321" spans="1:13" x14ac:dyDescent="0.25">
      <c r="F321" s="21" t="s">
        <v>1136</v>
      </c>
      <c r="G321" s="344">
        <v>4</v>
      </c>
      <c r="H321" s="338" t="s">
        <v>75</v>
      </c>
    </row>
    <row r="322" spans="1:13" x14ac:dyDescent="0.25">
      <c r="F322" s="21" t="s">
        <v>222</v>
      </c>
      <c r="G322" s="344">
        <f>6+6</f>
        <v>12</v>
      </c>
      <c r="H322" s="338" t="s">
        <v>1</v>
      </c>
    </row>
    <row r="323" spans="1:13" x14ac:dyDescent="0.25">
      <c r="F323" s="21" t="s">
        <v>213</v>
      </c>
      <c r="G323" s="344">
        <f>2+1</f>
        <v>3</v>
      </c>
      <c r="H323" s="338" t="s">
        <v>1</v>
      </c>
    </row>
    <row r="324" spans="1:13" x14ac:dyDescent="0.25">
      <c r="F324" s="21" t="s">
        <v>211</v>
      </c>
      <c r="G324" s="344">
        <f>2+5</f>
        <v>7</v>
      </c>
      <c r="H324" s="338" t="s">
        <v>1</v>
      </c>
    </row>
    <row r="325" spans="1:13" x14ac:dyDescent="0.25">
      <c r="F325" s="21" t="s">
        <v>1137</v>
      </c>
      <c r="G325" s="344">
        <v>3</v>
      </c>
      <c r="H325" s="338" t="s">
        <v>1</v>
      </c>
    </row>
    <row r="326" spans="1:13" x14ac:dyDescent="0.25">
      <c r="F326" s="21" t="s">
        <v>1136</v>
      </c>
      <c r="G326" s="344">
        <v>7.5</v>
      </c>
      <c r="H326" s="338" t="s">
        <v>75</v>
      </c>
    </row>
    <row r="327" spans="1:13" x14ac:dyDescent="0.25">
      <c r="F327" s="21" t="s">
        <v>1082</v>
      </c>
      <c r="G327" s="344">
        <f>G326</f>
        <v>7.5</v>
      </c>
      <c r="H327" s="338" t="s">
        <v>75</v>
      </c>
    </row>
    <row r="328" spans="1:13" x14ac:dyDescent="0.25">
      <c r="F328" s="21" t="s">
        <v>1137</v>
      </c>
      <c r="G328" s="344">
        <v>3</v>
      </c>
      <c r="H328" s="338" t="s">
        <v>1</v>
      </c>
    </row>
    <row r="329" spans="1:13" x14ac:dyDescent="0.25">
      <c r="F329" s="21" t="s">
        <v>222</v>
      </c>
      <c r="G329" s="344">
        <v>9</v>
      </c>
      <c r="H329" s="338" t="s">
        <v>1</v>
      </c>
    </row>
    <row r="330" spans="1:13" x14ac:dyDescent="0.25">
      <c r="F330" s="21" t="s">
        <v>211</v>
      </c>
      <c r="G330" s="344">
        <v>5</v>
      </c>
      <c r="H330" s="338" t="s">
        <v>1</v>
      </c>
    </row>
    <row r="331" spans="1:13" x14ac:dyDescent="0.25">
      <c r="F331" s="21" t="s">
        <v>213</v>
      </c>
      <c r="G331" s="344">
        <v>1</v>
      </c>
      <c r="H331" s="338" t="s">
        <v>1</v>
      </c>
    </row>
    <row r="332" spans="1:13" x14ac:dyDescent="0.25">
      <c r="D332" s="19" t="s">
        <v>107</v>
      </c>
      <c r="L332" s="332">
        <f>SUM(L333:L358)</f>
        <v>0</v>
      </c>
    </row>
    <row r="333" spans="1:13" x14ac:dyDescent="0.25">
      <c r="E333" s="20" t="s">
        <v>1112</v>
      </c>
    </row>
    <row r="334" spans="1:13" x14ac:dyDescent="0.25">
      <c r="F334" s="21" t="s">
        <v>1138</v>
      </c>
      <c r="G334" s="330">
        <v>8</v>
      </c>
      <c r="H334" s="338" t="s">
        <v>1</v>
      </c>
      <c r="I334" s="22" t="s">
        <v>322</v>
      </c>
    </row>
    <row r="335" spans="1:13" x14ac:dyDescent="0.25">
      <c r="F335" s="21" t="s">
        <v>1139</v>
      </c>
      <c r="G335" s="330">
        <v>2</v>
      </c>
      <c r="H335" s="338" t="s">
        <v>1</v>
      </c>
      <c r="I335" s="22" t="s">
        <v>323</v>
      </c>
    </row>
    <row r="336" spans="1:13" s="22" customFormat="1" x14ac:dyDescent="0.25">
      <c r="A336"/>
      <c r="B336"/>
      <c r="C336" s="19"/>
      <c r="D336" s="19"/>
      <c r="E336" s="20"/>
      <c r="F336" s="21" t="s">
        <v>1140</v>
      </c>
      <c r="G336" s="330">
        <v>3</v>
      </c>
      <c r="H336" s="338" t="s">
        <v>1</v>
      </c>
      <c r="I336" s="22" t="s">
        <v>324</v>
      </c>
      <c r="K336" s="332"/>
      <c r="L336" s="332"/>
      <c r="M336"/>
    </row>
    <row r="337" spans="1:13" s="22" customFormat="1" x14ac:dyDescent="0.25">
      <c r="A337"/>
      <c r="B337"/>
      <c r="C337" s="19"/>
      <c r="D337" s="19"/>
      <c r="E337" s="20"/>
      <c r="F337" s="21" t="s">
        <v>1141</v>
      </c>
      <c r="G337" s="330">
        <v>2</v>
      </c>
      <c r="H337" s="338" t="s">
        <v>1</v>
      </c>
      <c r="I337" s="22" t="s">
        <v>325</v>
      </c>
      <c r="K337" s="332"/>
      <c r="L337" s="332"/>
      <c r="M337"/>
    </row>
    <row r="338" spans="1:13" s="22" customFormat="1" x14ac:dyDescent="0.25">
      <c r="A338"/>
      <c r="B338"/>
      <c r="C338" s="19"/>
      <c r="D338" s="19"/>
      <c r="E338" s="20"/>
      <c r="F338" s="21" t="s">
        <v>1142</v>
      </c>
      <c r="G338" s="330">
        <f>4.8+1.7+3.5</f>
        <v>10</v>
      </c>
      <c r="H338" s="338" t="s">
        <v>75</v>
      </c>
      <c r="I338"/>
      <c r="K338" s="332"/>
      <c r="L338" s="332"/>
      <c r="M338"/>
    </row>
    <row r="339" spans="1:13" s="22" customFormat="1" x14ac:dyDescent="0.25">
      <c r="A339"/>
      <c r="B339"/>
      <c r="C339" s="19"/>
      <c r="D339" s="19"/>
      <c r="E339" s="20"/>
      <c r="F339" s="21" t="s">
        <v>1143</v>
      </c>
      <c r="G339" s="330">
        <v>2</v>
      </c>
      <c r="H339" s="338" t="s">
        <v>1</v>
      </c>
      <c r="I339"/>
      <c r="K339" s="332"/>
      <c r="L339" s="332"/>
      <c r="M339"/>
    </row>
    <row r="340" spans="1:13" s="22" customFormat="1" x14ac:dyDescent="0.25">
      <c r="A340"/>
      <c r="B340"/>
      <c r="C340" s="19"/>
      <c r="D340" s="19"/>
      <c r="E340" s="20"/>
      <c r="F340" s="21" t="s">
        <v>1144</v>
      </c>
      <c r="G340" s="330">
        <v>4</v>
      </c>
      <c r="H340" s="338" t="s">
        <v>1</v>
      </c>
      <c r="I340"/>
      <c r="K340" s="332"/>
      <c r="L340" s="332"/>
      <c r="M340"/>
    </row>
    <row r="341" spans="1:13" s="22" customFormat="1" x14ac:dyDescent="0.25">
      <c r="A341"/>
      <c r="B341"/>
      <c r="C341" s="19"/>
      <c r="D341" s="19"/>
      <c r="E341" s="20"/>
      <c r="F341" s="21" t="s">
        <v>1080</v>
      </c>
      <c r="G341" s="330">
        <v>10</v>
      </c>
      <c r="H341" s="338" t="s">
        <v>75</v>
      </c>
      <c r="I341"/>
      <c r="K341" s="332"/>
      <c r="L341" s="332"/>
      <c r="M341"/>
    </row>
    <row r="342" spans="1:13" s="22" customFormat="1" x14ac:dyDescent="0.25">
      <c r="A342"/>
      <c r="B342"/>
      <c r="C342" s="19"/>
      <c r="D342" s="19"/>
      <c r="E342" s="20"/>
      <c r="F342" s="21" t="s">
        <v>211</v>
      </c>
      <c r="G342" s="330">
        <v>12</v>
      </c>
      <c r="H342" s="338" t="s">
        <v>1</v>
      </c>
      <c r="I342"/>
      <c r="K342" s="332"/>
      <c r="L342" s="332"/>
      <c r="M342"/>
    </row>
    <row r="343" spans="1:13" s="22" customFormat="1" x14ac:dyDescent="0.25">
      <c r="A343"/>
      <c r="B343"/>
      <c r="C343" s="19"/>
      <c r="D343" s="19"/>
      <c r="E343" s="20"/>
      <c r="F343" s="21" t="s">
        <v>222</v>
      </c>
      <c r="G343" s="330">
        <v>8</v>
      </c>
      <c r="H343" s="338" t="s">
        <v>1</v>
      </c>
      <c r="I343"/>
      <c r="K343" s="332"/>
      <c r="L343" s="332"/>
      <c r="M343"/>
    </row>
    <row r="344" spans="1:13" s="22" customFormat="1" x14ac:dyDescent="0.25">
      <c r="A344"/>
      <c r="B344"/>
      <c r="C344" s="19"/>
      <c r="D344" s="19"/>
      <c r="E344" s="20"/>
      <c r="F344" s="21" t="s">
        <v>1083</v>
      </c>
      <c r="G344" s="330">
        <v>10</v>
      </c>
      <c r="H344" s="338" t="s">
        <v>75</v>
      </c>
      <c r="I344"/>
      <c r="K344" s="332"/>
      <c r="L344" s="332"/>
      <c r="M344"/>
    </row>
    <row r="345" spans="1:13" s="22" customFormat="1" x14ac:dyDescent="0.25">
      <c r="A345"/>
      <c r="B345"/>
      <c r="C345" s="19"/>
      <c r="D345" s="19"/>
      <c r="E345" s="20"/>
      <c r="F345" s="21" t="s">
        <v>326</v>
      </c>
      <c r="G345" s="330">
        <v>9</v>
      </c>
      <c r="H345" s="338" t="s">
        <v>1</v>
      </c>
      <c r="I345"/>
      <c r="K345" s="332"/>
      <c r="L345" s="332"/>
      <c r="M345"/>
    </row>
    <row r="346" spans="1:13" s="22" customFormat="1" x14ac:dyDescent="0.25">
      <c r="A346"/>
      <c r="B346"/>
      <c r="C346" s="19"/>
      <c r="D346" s="19"/>
      <c r="E346" s="20"/>
      <c r="F346" s="21" t="s">
        <v>327</v>
      </c>
      <c r="G346" s="330">
        <v>6</v>
      </c>
      <c r="H346" s="338" t="s">
        <v>1</v>
      </c>
      <c r="I346"/>
      <c r="K346" s="332"/>
      <c r="L346" s="332"/>
      <c r="M346"/>
    </row>
    <row r="347" spans="1:13" s="22" customFormat="1" x14ac:dyDescent="0.25">
      <c r="A347"/>
      <c r="B347"/>
      <c r="C347" s="19"/>
      <c r="D347" s="19"/>
      <c r="E347" s="20"/>
      <c r="F347" s="21" t="s">
        <v>328</v>
      </c>
      <c r="G347" s="330">
        <f>2*G335</f>
        <v>4</v>
      </c>
      <c r="H347" s="338" t="s">
        <v>1</v>
      </c>
      <c r="I347"/>
      <c r="K347" s="332"/>
      <c r="L347" s="332"/>
      <c r="M347"/>
    </row>
    <row r="348" spans="1:13" s="22" customFormat="1" x14ac:dyDescent="0.25">
      <c r="A348"/>
      <c r="B348"/>
      <c r="C348" s="19"/>
      <c r="D348" s="19"/>
      <c r="E348" s="20"/>
      <c r="F348" s="21" t="s">
        <v>329</v>
      </c>
      <c r="G348" s="330">
        <f>2*G334</f>
        <v>16</v>
      </c>
      <c r="H348" s="338" t="s">
        <v>1</v>
      </c>
      <c r="I348"/>
      <c r="K348" s="332"/>
      <c r="L348" s="332"/>
      <c r="M348"/>
    </row>
    <row r="349" spans="1:13" s="22" customFormat="1" x14ac:dyDescent="0.25">
      <c r="A349"/>
      <c r="B349"/>
      <c r="C349" s="19"/>
      <c r="D349" s="19"/>
      <c r="E349" s="20"/>
      <c r="F349" s="21" t="s">
        <v>1145</v>
      </c>
      <c r="G349" s="344">
        <f>G338</f>
        <v>10</v>
      </c>
      <c r="H349" s="338" t="s">
        <v>75</v>
      </c>
      <c r="I349"/>
      <c r="K349" s="332"/>
      <c r="L349" s="332"/>
      <c r="M349"/>
    </row>
    <row r="350" spans="1:13" s="22" customFormat="1" x14ac:dyDescent="0.25">
      <c r="A350"/>
      <c r="B350"/>
      <c r="C350" s="19"/>
      <c r="D350" s="19"/>
      <c r="E350" s="20"/>
      <c r="F350" s="21" t="s">
        <v>1082</v>
      </c>
      <c r="G350" s="344">
        <f>G341</f>
        <v>10</v>
      </c>
      <c r="H350" s="338" t="s">
        <v>75</v>
      </c>
      <c r="I350"/>
      <c r="K350" s="332"/>
      <c r="L350" s="332"/>
      <c r="M350"/>
    </row>
    <row r="351" spans="1:13" s="22" customFormat="1" x14ac:dyDescent="0.25">
      <c r="A351"/>
      <c r="B351"/>
      <c r="C351" s="19"/>
      <c r="D351" s="19"/>
      <c r="E351" s="20"/>
      <c r="F351" s="21" t="s">
        <v>1085</v>
      </c>
      <c r="G351" s="344">
        <f>G344</f>
        <v>10</v>
      </c>
      <c r="H351" s="338" t="s">
        <v>75</v>
      </c>
      <c r="I351"/>
      <c r="K351" s="332"/>
      <c r="L351" s="332"/>
      <c r="M351"/>
    </row>
    <row r="352" spans="1:13" x14ac:dyDescent="0.25">
      <c r="F352" s="21" t="s">
        <v>1096</v>
      </c>
      <c r="G352" s="344">
        <f>G349</f>
        <v>10</v>
      </c>
      <c r="H352" s="338" t="s">
        <v>1</v>
      </c>
    </row>
    <row r="353" spans="3:12" x14ac:dyDescent="0.25">
      <c r="F353" s="21" t="s">
        <v>1081</v>
      </c>
      <c r="G353" s="344">
        <f>G350/0.5</f>
        <v>20</v>
      </c>
      <c r="H353" s="338" t="s">
        <v>1</v>
      </c>
    </row>
    <row r="354" spans="3:12" x14ac:dyDescent="0.25">
      <c r="F354" s="21" t="s">
        <v>1084</v>
      </c>
      <c r="G354" s="344">
        <f>G351/0.5</f>
        <v>20</v>
      </c>
      <c r="H354" s="338" t="s">
        <v>1</v>
      </c>
    </row>
    <row r="355" spans="3:12" x14ac:dyDescent="0.25">
      <c r="F355" s="21" t="s">
        <v>1146</v>
      </c>
      <c r="G355" s="344">
        <v>365</v>
      </c>
      <c r="H355" s="338" t="s">
        <v>75</v>
      </c>
    </row>
    <row r="356" spans="3:12" x14ac:dyDescent="0.25">
      <c r="F356" s="21" t="s">
        <v>1147</v>
      </c>
      <c r="G356" s="344">
        <v>56</v>
      </c>
      <c r="H356" s="338" t="s">
        <v>1</v>
      </c>
    </row>
    <row r="357" spans="3:12" x14ac:dyDescent="0.25">
      <c r="F357" s="21" t="s">
        <v>1148</v>
      </c>
      <c r="G357" s="344">
        <f>18*3</f>
        <v>54</v>
      </c>
      <c r="H357" s="338" t="s">
        <v>1</v>
      </c>
    </row>
    <row r="358" spans="3:12" x14ac:dyDescent="0.25">
      <c r="F358" s="26" t="s">
        <v>1040</v>
      </c>
      <c r="G358" s="354"/>
      <c r="H358" s="338"/>
    </row>
    <row r="359" spans="3:12" x14ac:dyDescent="0.25">
      <c r="D359" s="19" t="s">
        <v>108</v>
      </c>
      <c r="H359" s="338"/>
      <c r="L359" s="332">
        <v>0</v>
      </c>
    </row>
    <row r="360" spans="3:12" x14ac:dyDescent="0.25">
      <c r="D360" s="19" t="s">
        <v>109</v>
      </c>
      <c r="L360" s="332">
        <f>SUM(L361:L363)</f>
        <v>0</v>
      </c>
    </row>
    <row r="361" spans="3:12" x14ac:dyDescent="0.25">
      <c r="E361" s="20" t="s">
        <v>330</v>
      </c>
    </row>
    <row r="362" spans="3:12" x14ac:dyDescent="0.25">
      <c r="F362" s="26" t="s">
        <v>1149</v>
      </c>
      <c r="G362" s="344"/>
    </row>
    <row r="363" spans="3:12" x14ac:dyDescent="0.25">
      <c r="F363" s="26" t="s">
        <v>1149</v>
      </c>
      <c r="G363" s="344"/>
    </row>
    <row r="364" spans="3:12" x14ac:dyDescent="0.25">
      <c r="C364" s="335" t="s">
        <v>110</v>
      </c>
      <c r="H364" s="338"/>
      <c r="L364" s="336">
        <f>L366</f>
        <v>19679.363025210085</v>
      </c>
    </row>
    <row r="365" spans="3:12" x14ac:dyDescent="0.25">
      <c r="E365" s="343" t="s">
        <v>1150</v>
      </c>
      <c r="F365" s="19"/>
      <c r="H365" s="338"/>
    </row>
    <row r="366" spans="3:12" x14ac:dyDescent="0.25">
      <c r="E366" s="343"/>
      <c r="F366" s="19" t="s">
        <v>1131</v>
      </c>
      <c r="G366" s="344">
        <v>1</v>
      </c>
      <c r="H366" s="338" t="s">
        <v>1</v>
      </c>
      <c r="L366" s="332">
        <f>0.2*L367</f>
        <v>19679.363025210085</v>
      </c>
    </row>
    <row r="367" spans="3:12" x14ac:dyDescent="0.25">
      <c r="C367" s="335" t="s">
        <v>111</v>
      </c>
      <c r="F367"/>
      <c r="H367" s="338"/>
      <c r="L367" s="336">
        <f>SUM(L368:L377)</f>
        <v>98396.815126050424</v>
      </c>
    </row>
    <row r="368" spans="3:12" x14ac:dyDescent="0.25">
      <c r="E368" s="343" t="s">
        <v>1150</v>
      </c>
      <c r="G368" s="355"/>
    </row>
    <row r="369" spans="1:13" x14ac:dyDescent="0.25">
      <c r="F369" s="19" t="s">
        <v>331</v>
      </c>
      <c r="G369" s="353">
        <v>2</v>
      </c>
      <c r="H369" s="338" t="s">
        <v>1</v>
      </c>
      <c r="J369" s="22" t="s">
        <v>332</v>
      </c>
      <c r="K369" s="339">
        <f>34000/1.19</f>
        <v>28571.428571428572</v>
      </c>
      <c r="L369" s="332">
        <f>G369*K369</f>
        <v>57142.857142857145</v>
      </c>
    </row>
    <row r="370" spans="1:13" x14ac:dyDescent="0.25">
      <c r="F370" s="19" t="s">
        <v>333</v>
      </c>
      <c r="G370" s="353">
        <v>3</v>
      </c>
      <c r="H370" s="338" t="s">
        <v>1</v>
      </c>
      <c r="J370" s="22" t="s">
        <v>334</v>
      </c>
      <c r="K370" s="332">
        <f>234/1.19</f>
        <v>196.63865546218489</v>
      </c>
      <c r="L370" s="332">
        <f>G370*K370</f>
        <v>589.9159663865546</v>
      </c>
    </row>
    <row r="371" spans="1:13" x14ac:dyDescent="0.25">
      <c r="F371" s="19" t="s">
        <v>335</v>
      </c>
      <c r="G371" s="353">
        <v>2</v>
      </c>
      <c r="H371" s="338" t="s">
        <v>1</v>
      </c>
      <c r="J371" s="22" t="s">
        <v>336</v>
      </c>
      <c r="K371" s="332">
        <f>5328/1.19</f>
        <v>4477.3109243697481</v>
      </c>
      <c r="L371" s="332">
        <f t="shared" ref="L371:L377" si="9">G371*K371</f>
        <v>8954.6218487394963</v>
      </c>
    </row>
    <row r="372" spans="1:13" x14ac:dyDescent="0.25">
      <c r="F372" s="19" t="s">
        <v>337</v>
      </c>
      <c r="G372" s="353">
        <v>1</v>
      </c>
      <c r="H372" s="338" t="s">
        <v>1</v>
      </c>
      <c r="K372" s="332">
        <v>2000</v>
      </c>
      <c r="L372" s="332">
        <f t="shared" si="9"/>
        <v>2000</v>
      </c>
    </row>
    <row r="373" spans="1:13" x14ac:dyDescent="0.25">
      <c r="F373" s="19" t="s">
        <v>338</v>
      </c>
      <c r="G373" s="353">
        <v>1</v>
      </c>
      <c r="H373" s="338" t="s">
        <v>1</v>
      </c>
      <c r="J373" s="22" t="s">
        <v>339</v>
      </c>
      <c r="K373" s="332">
        <f>10500/1.19</f>
        <v>8823.5294117647063</v>
      </c>
      <c r="L373" s="332">
        <f t="shared" si="9"/>
        <v>8823.5294117647063</v>
      </c>
    </row>
    <row r="374" spans="1:13" x14ac:dyDescent="0.25">
      <c r="F374" s="19" t="s">
        <v>340</v>
      </c>
      <c r="G374" s="353">
        <v>3</v>
      </c>
      <c r="H374" s="338" t="s">
        <v>1</v>
      </c>
      <c r="K374" s="332">
        <v>2500</v>
      </c>
      <c r="L374" s="332">
        <f t="shared" si="9"/>
        <v>7500</v>
      </c>
    </row>
    <row r="375" spans="1:13" x14ac:dyDescent="0.25">
      <c r="F375" s="19" t="s">
        <v>341</v>
      </c>
      <c r="G375" s="353">
        <v>2</v>
      </c>
      <c r="H375" s="338" t="s">
        <v>1</v>
      </c>
      <c r="K375" s="332">
        <v>1250</v>
      </c>
      <c r="L375" s="332">
        <f t="shared" si="9"/>
        <v>2500</v>
      </c>
    </row>
    <row r="376" spans="1:13" x14ac:dyDescent="0.25">
      <c r="F376" s="19" t="s">
        <v>342</v>
      </c>
      <c r="G376" s="353">
        <v>1</v>
      </c>
      <c r="H376" s="338" t="s">
        <v>1</v>
      </c>
      <c r="J376" s="22" t="s">
        <v>343</v>
      </c>
      <c r="K376" s="332">
        <f>12720.21/1.19</f>
        <v>10689.252100840336</v>
      </c>
      <c r="L376" s="332">
        <f t="shared" si="9"/>
        <v>10689.252100840336</v>
      </c>
    </row>
    <row r="377" spans="1:13" x14ac:dyDescent="0.25">
      <c r="F377" s="19" t="s">
        <v>1151</v>
      </c>
      <c r="G377" s="353">
        <v>1</v>
      </c>
      <c r="H377" s="338" t="s">
        <v>1</v>
      </c>
      <c r="J377" s="22" t="s">
        <v>334</v>
      </c>
      <c r="K377" s="332">
        <f>K370</f>
        <v>196.63865546218489</v>
      </c>
      <c r="L377" s="332">
        <f t="shared" si="9"/>
        <v>196.63865546218489</v>
      </c>
    </row>
    <row r="378" spans="1:13" x14ac:dyDescent="0.25">
      <c r="G378" s="353"/>
      <c r="H378" s="338"/>
    </row>
    <row r="379" spans="1:13" x14ac:dyDescent="0.25">
      <c r="A379" s="352" t="s">
        <v>1122</v>
      </c>
      <c r="B379" s="342" t="s">
        <v>1152</v>
      </c>
    </row>
    <row r="380" spans="1:13" x14ac:dyDescent="0.25">
      <c r="C380" s="335" t="s">
        <v>89</v>
      </c>
    </row>
    <row r="381" spans="1:13" x14ac:dyDescent="0.25">
      <c r="D381" s="19" t="s">
        <v>90</v>
      </c>
    </row>
    <row r="382" spans="1:13" x14ac:dyDescent="0.25">
      <c r="D382" s="19" t="s">
        <v>91</v>
      </c>
    </row>
    <row r="383" spans="1:13" x14ac:dyDescent="0.25">
      <c r="D383" s="19" t="s">
        <v>99</v>
      </c>
    </row>
    <row r="384" spans="1:13" s="331" customFormat="1" x14ac:dyDescent="0.25">
      <c r="A384"/>
      <c r="B384"/>
      <c r="C384" s="19"/>
      <c r="D384" s="19" t="s">
        <v>104</v>
      </c>
      <c r="E384" s="20"/>
      <c r="F384" s="21"/>
      <c r="G384" s="330"/>
      <c r="I384"/>
      <c r="J384" s="22"/>
      <c r="K384" s="332"/>
      <c r="L384" s="332"/>
      <c r="M384"/>
    </row>
    <row r="385" spans="1:13" s="331" customFormat="1" x14ac:dyDescent="0.25">
      <c r="A385"/>
      <c r="B385"/>
      <c r="C385" s="19"/>
      <c r="D385" s="19" t="s">
        <v>105</v>
      </c>
      <c r="E385" s="20"/>
      <c r="F385" s="21"/>
      <c r="G385" s="330"/>
      <c r="I385"/>
      <c r="J385" s="22"/>
      <c r="K385" s="332"/>
      <c r="L385" s="332"/>
      <c r="M385"/>
    </row>
    <row r="386" spans="1:13" s="331" customFormat="1" x14ac:dyDescent="0.25">
      <c r="A386"/>
      <c r="B386"/>
      <c r="C386" s="19"/>
      <c r="D386" s="19" t="s">
        <v>106</v>
      </c>
      <c r="E386" s="20"/>
      <c r="F386" s="21"/>
      <c r="G386" s="330"/>
      <c r="I386"/>
      <c r="J386" s="22"/>
      <c r="K386" s="332"/>
      <c r="L386" s="332"/>
      <c r="M386"/>
    </row>
    <row r="387" spans="1:13" s="331" customFormat="1" x14ac:dyDescent="0.25">
      <c r="A387"/>
      <c r="B387"/>
      <c r="C387" s="19"/>
      <c r="D387" s="19" t="s">
        <v>107</v>
      </c>
      <c r="E387" s="20"/>
      <c r="F387" s="21"/>
      <c r="G387" s="330"/>
      <c r="I387"/>
      <c r="J387" s="22"/>
      <c r="K387" s="332"/>
      <c r="L387" s="332"/>
      <c r="M387"/>
    </row>
    <row r="388" spans="1:13" s="331" customFormat="1" x14ac:dyDescent="0.25">
      <c r="A388"/>
      <c r="B388"/>
      <c r="C388" s="19"/>
      <c r="D388" s="19" t="s">
        <v>108</v>
      </c>
      <c r="E388" s="20"/>
      <c r="F388" s="21"/>
      <c r="G388" s="330"/>
      <c r="I388"/>
      <c r="J388" s="22"/>
      <c r="K388" s="332"/>
      <c r="L388" s="332"/>
      <c r="M388"/>
    </row>
    <row r="389" spans="1:13" s="331" customFormat="1" x14ac:dyDescent="0.25">
      <c r="A389"/>
      <c r="B389"/>
      <c r="C389" s="19"/>
      <c r="D389" s="19" t="s">
        <v>109</v>
      </c>
      <c r="E389" s="20"/>
      <c r="F389" s="21"/>
      <c r="G389" s="330"/>
      <c r="I389"/>
      <c r="J389" s="22"/>
      <c r="K389" s="332"/>
      <c r="L389" s="332"/>
      <c r="M389"/>
    </row>
    <row r="390" spans="1:13" s="331" customFormat="1" x14ac:dyDescent="0.25">
      <c r="A390"/>
      <c r="B390"/>
      <c r="C390" s="19"/>
      <c r="D390" s="19"/>
      <c r="E390" s="20" t="s">
        <v>1153</v>
      </c>
      <c r="F390" s="21"/>
      <c r="G390" s="330"/>
      <c r="I390"/>
      <c r="J390" s="22"/>
      <c r="K390" s="332"/>
      <c r="L390" s="332"/>
      <c r="M390"/>
    </row>
    <row r="391" spans="1:13" s="331" customFormat="1" x14ac:dyDescent="0.25">
      <c r="A391"/>
      <c r="B391"/>
      <c r="C391" s="19"/>
      <c r="D391" s="19"/>
      <c r="E391" s="20"/>
      <c r="F391" s="26" t="s">
        <v>1149</v>
      </c>
      <c r="G391" s="344"/>
      <c r="I391"/>
      <c r="J391" s="22"/>
      <c r="K391" s="332"/>
      <c r="L391" s="332"/>
      <c r="M391"/>
    </row>
    <row r="392" spans="1:13" s="331" customFormat="1" x14ac:dyDescent="0.25">
      <c r="A392"/>
      <c r="B392"/>
      <c r="C392" s="19"/>
      <c r="D392" s="19"/>
      <c r="E392" s="20"/>
      <c r="F392" s="26" t="s">
        <v>1149</v>
      </c>
      <c r="G392" s="344"/>
      <c r="I392"/>
      <c r="J392" s="22"/>
      <c r="K392" s="332"/>
      <c r="L392" s="332"/>
      <c r="M392"/>
    </row>
    <row r="393" spans="1:13" s="331" customFormat="1" x14ac:dyDescent="0.25">
      <c r="A393"/>
      <c r="B393"/>
      <c r="C393" s="335" t="s">
        <v>110</v>
      </c>
      <c r="D393" s="19"/>
      <c r="E393" s="20"/>
      <c r="F393" s="21"/>
      <c r="G393" s="330"/>
      <c r="I393"/>
      <c r="J393" s="22"/>
      <c r="K393" s="332"/>
      <c r="L393" s="332"/>
      <c r="M393"/>
    </row>
    <row r="394" spans="1:13" s="331" customFormat="1" x14ac:dyDescent="0.25">
      <c r="A394"/>
      <c r="B394"/>
      <c r="C394" s="19"/>
      <c r="D394" s="19"/>
      <c r="E394" s="20" t="s">
        <v>1154</v>
      </c>
      <c r="F394" s="21"/>
      <c r="G394" s="330"/>
      <c r="I394"/>
      <c r="J394" s="22"/>
      <c r="K394" s="332"/>
      <c r="L394" s="332"/>
      <c r="M394"/>
    </row>
    <row r="395" spans="1:13" s="331" customFormat="1" x14ac:dyDescent="0.25">
      <c r="A395"/>
      <c r="B395"/>
      <c r="C395" s="19"/>
      <c r="D395" s="19"/>
      <c r="E395" s="20"/>
      <c r="F395" s="26" t="s">
        <v>1155</v>
      </c>
      <c r="G395" s="344"/>
      <c r="I395"/>
      <c r="J395" s="22"/>
      <c r="K395" s="332"/>
      <c r="L395" s="332"/>
      <c r="M395"/>
    </row>
    <row r="396" spans="1:13" s="331" customFormat="1" x14ac:dyDescent="0.25">
      <c r="A396"/>
      <c r="B396"/>
      <c r="C396" s="335" t="s">
        <v>111</v>
      </c>
      <c r="D396" s="19"/>
      <c r="E396" s="20"/>
      <c r="F396" s="21"/>
      <c r="G396" s="330"/>
      <c r="I396"/>
      <c r="J396" s="22"/>
      <c r="K396" s="332"/>
      <c r="L396" s="332"/>
      <c r="M396"/>
    </row>
    <row r="397" spans="1:13" s="331" customFormat="1" x14ac:dyDescent="0.25">
      <c r="A397"/>
      <c r="B397"/>
      <c r="C397" s="19"/>
      <c r="D397" s="19"/>
      <c r="E397" s="20" t="s">
        <v>1154</v>
      </c>
      <c r="F397" s="21"/>
      <c r="G397" s="344"/>
      <c r="I397"/>
      <c r="J397" s="22"/>
      <c r="K397" s="332"/>
      <c r="L397" s="332"/>
      <c r="M397"/>
    </row>
    <row r="398" spans="1:13" s="331" customFormat="1" x14ac:dyDescent="0.25">
      <c r="A398"/>
      <c r="B398"/>
      <c r="C398" s="19"/>
      <c r="D398" s="19"/>
      <c r="E398" s="20"/>
      <c r="F398" s="26" t="s">
        <v>1156</v>
      </c>
      <c r="G398" s="344"/>
      <c r="I398"/>
      <c r="J398" s="22"/>
      <c r="K398" s="332"/>
      <c r="L398" s="332"/>
      <c r="M398"/>
    </row>
    <row r="399" spans="1:13" s="331" customFormat="1" x14ac:dyDescent="0.25">
      <c r="A399"/>
      <c r="B399"/>
      <c r="C399" s="19"/>
      <c r="D399" s="19"/>
      <c r="E399" s="20"/>
      <c r="F399" s="26"/>
      <c r="G399" s="344"/>
      <c r="I399"/>
      <c r="J399" s="22"/>
      <c r="K399" s="332"/>
      <c r="L399" s="332"/>
      <c r="M399"/>
    </row>
    <row r="400" spans="1:13" s="331" customFormat="1" x14ac:dyDescent="0.25">
      <c r="A400" s="352" t="s">
        <v>1122</v>
      </c>
      <c r="B400" s="342" t="s">
        <v>344</v>
      </c>
      <c r="C400" s="19"/>
      <c r="D400" s="19"/>
      <c r="E400" s="20"/>
      <c r="F400" s="21"/>
      <c r="G400" s="330"/>
      <c r="I400"/>
      <c r="J400" s="22"/>
      <c r="K400" s="332"/>
      <c r="L400" s="332"/>
      <c r="M400"/>
    </row>
    <row r="401" spans="1:13" s="331" customFormat="1" x14ac:dyDescent="0.25">
      <c r="A401"/>
      <c r="B401"/>
      <c r="C401" s="335" t="s">
        <v>89</v>
      </c>
      <c r="D401" s="19"/>
      <c r="E401" s="20"/>
      <c r="F401" s="21"/>
      <c r="G401" s="330"/>
      <c r="I401"/>
      <c r="J401" s="22"/>
      <c r="K401" s="332"/>
      <c r="L401" s="332"/>
      <c r="M401"/>
    </row>
    <row r="402" spans="1:13" s="331" customFormat="1" x14ac:dyDescent="0.25">
      <c r="A402"/>
      <c r="B402"/>
      <c r="C402" s="19"/>
      <c r="D402" s="19" t="s">
        <v>90</v>
      </c>
      <c r="E402" s="20"/>
      <c r="F402" s="21"/>
      <c r="G402" s="330"/>
      <c r="I402"/>
      <c r="J402" s="22"/>
      <c r="K402" s="332"/>
      <c r="L402" s="332"/>
      <c r="M402"/>
    </row>
    <row r="403" spans="1:13" s="331" customFormat="1" x14ac:dyDescent="0.25">
      <c r="A403"/>
      <c r="B403"/>
      <c r="C403" s="19"/>
      <c r="D403" s="19" t="s">
        <v>91</v>
      </c>
      <c r="E403" s="20"/>
      <c r="F403" s="21"/>
      <c r="G403" s="330"/>
      <c r="I403"/>
      <c r="J403" s="22"/>
      <c r="K403" s="332"/>
      <c r="L403" s="332"/>
      <c r="M403"/>
    </row>
    <row r="404" spans="1:13" s="331" customFormat="1" x14ac:dyDescent="0.25">
      <c r="A404"/>
      <c r="B404"/>
      <c r="C404" s="19"/>
      <c r="D404" s="19" t="s">
        <v>99</v>
      </c>
      <c r="E404" s="20"/>
      <c r="F404" s="21"/>
      <c r="G404" s="330"/>
      <c r="I404"/>
      <c r="J404" s="22"/>
      <c r="K404" s="332"/>
      <c r="L404" s="332"/>
      <c r="M404"/>
    </row>
    <row r="405" spans="1:13" s="331" customFormat="1" x14ac:dyDescent="0.25">
      <c r="A405"/>
      <c r="B405"/>
      <c r="C405" s="19"/>
      <c r="D405" s="19" t="s">
        <v>104</v>
      </c>
      <c r="E405" s="20"/>
      <c r="F405" s="21"/>
      <c r="G405" s="330"/>
      <c r="I405"/>
      <c r="J405" s="22"/>
      <c r="K405" s="332"/>
      <c r="L405" s="332"/>
      <c r="M405"/>
    </row>
    <row r="406" spans="1:13" s="331" customFormat="1" x14ac:dyDescent="0.25">
      <c r="A406"/>
      <c r="B406"/>
      <c r="C406" s="19"/>
      <c r="D406" s="19" t="s">
        <v>105</v>
      </c>
      <c r="E406" s="20"/>
      <c r="F406" s="21"/>
      <c r="G406" s="330"/>
      <c r="I406"/>
      <c r="J406" s="22"/>
      <c r="K406" s="332"/>
      <c r="L406" s="332"/>
      <c r="M406"/>
    </row>
    <row r="407" spans="1:13" s="331" customFormat="1" x14ac:dyDescent="0.25">
      <c r="A407"/>
      <c r="B407"/>
      <c r="C407" s="19"/>
      <c r="D407" s="19" t="s">
        <v>106</v>
      </c>
      <c r="E407" s="20"/>
      <c r="F407" s="21"/>
      <c r="G407" s="330"/>
      <c r="I407"/>
      <c r="J407" s="22"/>
      <c r="K407" s="332"/>
      <c r="L407" s="332"/>
      <c r="M407"/>
    </row>
    <row r="408" spans="1:13" s="331" customFormat="1" x14ac:dyDescent="0.25">
      <c r="A408"/>
      <c r="B408"/>
      <c r="C408" s="19"/>
      <c r="D408" s="19" t="s">
        <v>107</v>
      </c>
      <c r="E408" s="20"/>
      <c r="F408" s="21"/>
      <c r="G408" s="330"/>
      <c r="I408"/>
      <c r="J408" s="22"/>
      <c r="K408" s="332"/>
      <c r="L408" s="332"/>
      <c r="M408"/>
    </row>
    <row r="409" spans="1:13" s="331" customFormat="1" x14ac:dyDescent="0.25">
      <c r="A409"/>
      <c r="B409"/>
      <c r="C409" s="19"/>
      <c r="D409" s="19" t="s">
        <v>108</v>
      </c>
      <c r="E409" s="20"/>
      <c r="F409" s="21"/>
      <c r="G409" s="330"/>
      <c r="I409"/>
      <c r="J409" s="22"/>
      <c r="K409" s="332"/>
      <c r="L409" s="332"/>
      <c r="M409"/>
    </row>
    <row r="410" spans="1:13" s="331" customFormat="1" x14ac:dyDescent="0.25">
      <c r="A410"/>
      <c r="B410"/>
      <c r="C410" s="19"/>
      <c r="D410" s="19" t="s">
        <v>109</v>
      </c>
      <c r="E410" s="20"/>
      <c r="F410" s="21"/>
      <c r="G410" s="330"/>
      <c r="I410"/>
      <c r="J410" s="22"/>
      <c r="K410" s="332"/>
      <c r="L410" s="332"/>
      <c r="M410"/>
    </row>
    <row r="411" spans="1:13" s="331" customFormat="1" x14ac:dyDescent="0.25">
      <c r="A411"/>
      <c r="B411"/>
      <c r="C411" s="19"/>
      <c r="D411" s="19"/>
      <c r="E411" s="20" t="s">
        <v>1157</v>
      </c>
      <c r="F411" s="21"/>
      <c r="G411" s="330"/>
      <c r="I411"/>
      <c r="J411" s="22"/>
      <c r="K411" s="332"/>
      <c r="L411" s="332"/>
      <c r="M411"/>
    </row>
    <row r="412" spans="1:13" s="331" customFormat="1" x14ac:dyDescent="0.25">
      <c r="A412"/>
      <c r="B412"/>
      <c r="C412" s="19"/>
      <c r="D412" s="19"/>
      <c r="E412" s="20"/>
      <c r="F412" s="26" t="s">
        <v>1158</v>
      </c>
      <c r="G412" s="344"/>
      <c r="I412"/>
      <c r="J412" s="22"/>
      <c r="K412" s="332"/>
      <c r="L412" s="332"/>
      <c r="M412"/>
    </row>
    <row r="413" spans="1:13" s="331" customFormat="1" x14ac:dyDescent="0.25">
      <c r="A413"/>
      <c r="B413"/>
      <c r="C413" s="335" t="s">
        <v>110</v>
      </c>
      <c r="D413" s="19"/>
      <c r="E413" s="20"/>
      <c r="F413" s="21"/>
      <c r="G413" s="330"/>
      <c r="I413"/>
      <c r="J413" s="22"/>
      <c r="K413" s="332"/>
      <c r="L413" s="332"/>
      <c r="M413"/>
    </row>
    <row r="414" spans="1:13" s="331" customFormat="1" x14ac:dyDescent="0.25">
      <c r="A414"/>
      <c r="B414"/>
      <c r="C414" s="335" t="s">
        <v>111</v>
      </c>
      <c r="D414" s="19"/>
      <c r="E414" s="20"/>
      <c r="F414" s="21"/>
      <c r="G414" s="330"/>
      <c r="I414"/>
      <c r="J414" s="22"/>
      <c r="K414" s="332"/>
      <c r="L414" s="332"/>
      <c r="M414"/>
    </row>
    <row r="415" spans="1:13" s="331" customFormat="1" x14ac:dyDescent="0.25">
      <c r="A415"/>
      <c r="B415"/>
      <c r="C415" s="335"/>
      <c r="D415" s="19"/>
      <c r="E415" s="20"/>
      <c r="F415" s="21"/>
      <c r="G415" s="330"/>
      <c r="I415"/>
      <c r="J415" s="22"/>
      <c r="K415" s="332"/>
      <c r="L415" s="332"/>
      <c r="M415"/>
    </row>
    <row r="416" spans="1:13" ht="16.5" x14ac:dyDescent="0.35">
      <c r="A416" s="352" t="s">
        <v>1122</v>
      </c>
      <c r="B416" s="342" t="s">
        <v>1159</v>
      </c>
      <c r="L416" s="333">
        <f>L417+L439+L440</f>
        <v>411.44551260504204</v>
      </c>
    </row>
    <row r="417" spans="3:12" x14ac:dyDescent="0.25">
      <c r="C417" s="335" t="s">
        <v>89</v>
      </c>
      <c r="L417" s="336">
        <f>L418+L419+L425+L426+L427+L428+L436+L437+L438</f>
        <v>411.44551260504204</v>
      </c>
    </row>
    <row r="418" spans="3:12" x14ac:dyDescent="0.25">
      <c r="D418" s="19" t="s">
        <v>90</v>
      </c>
      <c r="L418" s="332">
        <v>0</v>
      </c>
    </row>
    <row r="419" spans="3:12" x14ac:dyDescent="0.25">
      <c r="D419" s="19" t="s">
        <v>91</v>
      </c>
      <c r="L419" s="332">
        <f>SUM(L420:L424)</f>
        <v>0</v>
      </c>
    </row>
    <row r="420" spans="3:12" x14ac:dyDescent="0.25">
      <c r="E420" s="343"/>
    </row>
    <row r="421" spans="3:12" x14ac:dyDescent="0.25">
      <c r="F421" s="19"/>
    </row>
    <row r="422" spans="3:12" x14ac:dyDescent="0.25">
      <c r="F422" s="19"/>
    </row>
    <row r="423" spans="3:12" x14ac:dyDescent="0.25">
      <c r="F423" s="19"/>
    </row>
    <row r="424" spans="3:12" x14ac:dyDescent="0.25">
      <c r="F424" s="19"/>
    </row>
    <row r="425" spans="3:12" x14ac:dyDescent="0.25">
      <c r="D425" s="19" t="s">
        <v>99</v>
      </c>
      <c r="L425" s="332">
        <v>0</v>
      </c>
    </row>
    <row r="426" spans="3:12" x14ac:dyDescent="0.25">
      <c r="D426" s="19" t="s">
        <v>104</v>
      </c>
      <c r="L426" s="332">
        <v>0</v>
      </c>
    </row>
    <row r="427" spans="3:12" x14ac:dyDescent="0.25">
      <c r="D427" s="19" t="s">
        <v>105</v>
      </c>
      <c r="L427" s="332">
        <v>0</v>
      </c>
    </row>
    <row r="428" spans="3:12" x14ac:dyDescent="0.25">
      <c r="D428" s="19" t="s">
        <v>106</v>
      </c>
      <c r="L428" s="332">
        <f>SUM(L429:L435)</f>
        <v>411.44551260504204</v>
      </c>
    </row>
    <row r="429" spans="3:12" x14ac:dyDescent="0.25">
      <c r="E429" s="343" t="s">
        <v>1160</v>
      </c>
      <c r="F429" s="19"/>
    </row>
    <row r="430" spans="3:12" x14ac:dyDescent="0.25">
      <c r="E430" s="343"/>
      <c r="F430" s="19" t="s">
        <v>1073</v>
      </c>
      <c r="G430" s="330">
        <f>10*0.9*0.6</f>
        <v>5.3999999999999995</v>
      </c>
      <c r="H430" s="338" t="s">
        <v>4</v>
      </c>
      <c r="J430" s="22" t="s">
        <v>1048</v>
      </c>
      <c r="K430" s="332">
        <v>17.100000000000001</v>
      </c>
      <c r="L430" s="332">
        <f>K430*G430</f>
        <v>92.34</v>
      </c>
    </row>
    <row r="431" spans="3:12" x14ac:dyDescent="0.25">
      <c r="E431" s="343"/>
      <c r="F431" s="19" t="s">
        <v>81</v>
      </c>
      <c r="G431" s="330">
        <f>10*0.6*0.3</f>
        <v>1.7999999999999998</v>
      </c>
      <c r="H431" s="338" t="s">
        <v>4</v>
      </c>
      <c r="J431" s="22" t="s">
        <v>152</v>
      </c>
      <c r="K431" s="339">
        <v>16.36</v>
      </c>
      <c r="L431" s="332">
        <f t="shared" ref="L431:L435" si="10">K431*G431</f>
        <v>29.447999999999997</v>
      </c>
    </row>
    <row r="432" spans="3:12" x14ac:dyDescent="0.25">
      <c r="E432" s="343"/>
      <c r="F432" s="19" t="s">
        <v>154</v>
      </c>
      <c r="G432" s="330">
        <f>G430-G431</f>
        <v>3.5999999999999996</v>
      </c>
      <c r="H432" s="338" t="s">
        <v>4</v>
      </c>
      <c r="J432" s="22" t="s">
        <v>155</v>
      </c>
      <c r="K432" s="339">
        <v>3.28</v>
      </c>
      <c r="L432" s="332">
        <f t="shared" si="10"/>
        <v>11.807999999999998</v>
      </c>
    </row>
    <row r="433" spans="1:13" x14ac:dyDescent="0.25">
      <c r="E433" s="343"/>
      <c r="F433" s="19" t="s">
        <v>1069</v>
      </c>
      <c r="G433" s="330">
        <f>G432</f>
        <v>3.5999999999999996</v>
      </c>
      <c r="H433" s="338" t="s">
        <v>4</v>
      </c>
      <c r="J433" s="22" t="s">
        <v>156</v>
      </c>
      <c r="K433" s="339">
        <v>7.38</v>
      </c>
      <c r="L433" s="332">
        <f t="shared" si="10"/>
        <v>26.567999999999998</v>
      </c>
    </row>
    <row r="434" spans="1:13" x14ac:dyDescent="0.25">
      <c r="E434" s="343"/>
      <c r="F434" s="19" t="s">
        <v>1161</v>
      </c>
      <c r="G434" s="330">
        <v>10</v>
      </c>
      <c r="H434" s="338" t="s">
        <v>75</v>
      </c>
      <c r="J434"/>
      <c r="K434" s="339">
        <f>36.18/1.19/2*1.5</f>
        <v>22.802521008403364</v>
      </c>
      <c r="L434" s="332">
        <f t="shared" si="10"/>
        <v>228.02521008403363</v>
      </c>
    </row>
    <row r="435" spans="1:13" x14ac:dyDescent="0.25">
      <c r="E435" s="343"/>
      <c r="F435" s="19" t="s">
        <v>347</v>
      </c>
      <c r="G435" s="330">
        <v>1</v>
      </c>
      <c r="H435" s="331" t="s">
        <v>1</v>
      </c>
      <c r="K435" s="332">
        <f>18.45/1.19*1.5</f>
        <v>23.256302521008404</v>
      </c>
      <c r="L435" s="332">
        <f t="shared" si="10"/>
        <v>23.256302521008404</v>
      </c>
    </row>
    <row r="436" spans="1:13" x14ac:dyDescent="0.25">
      <c r="D436" s="19" t="s">
        <v>107</v>
      </c>
      <c r="L436" s="332">
        <v>0</v>
      </c>
    </row>
    <row r="437" spans="1:13" x14ac:dyDescent="0.25">
      <c r="D437" s="19" t="s">
        <v>108</v>
      </c>
      <c r="L437" s="332">
        <v>0</v>
      </c>
    </row>
    <row r="438" spans="1:13" x14ac:dyDescent="0.25">
      <c r="D438" s="19" t="s">
        <v>109</v>
      </c>
      <c r="L438" s="332">
        <v>0</v>
      </c>
    </row>
    <row r="439" spans="1:13" x14ac:dyDescent="0.25">
      <c r="C439" s="335" t="s">
        <v>110</v>
      </c>
      <c r="L439" s="336">
        <v>0</v>
      </c>
    </row>
    <row r="440" spans="1:13" x14ac:dyDescent="0.25">
      <c r="C440" s="335" t="s">
        <v>111</v>
      </c>
      <c r="L440" s="336">
        <v>0</v>
      </c>
    </row>
    <row r="443" spans="1:13" x14ac:dyDescent="0.25">
      <c r="F443"/>
      <c r="G443"/>
      <c r="H443"/>
      <c r="J443"/>
      <c r="K443"/>
    </row>
    <row r="444" spans="1:13" x14ac:dyDescent="0.25">
      <c r="F444"/>
      <c r="G444"/>
      <c r="H444"/>
      <c r="J444"/>
      <c r="K444"/>
    </row>
    <row r="445" spans="1:13" x14ac:dyDescent="0.25">
      <c r="F445"/>
      <c r="G445"/>
      <c r="H445"/>
      <c r="J445"/>
      <c r="K445"/>
    </row>
    <row r="446" spans="1:13" x14ac:dyDescent="0.25">
      <c r="B446" s="23"/>
    </row>
    <row r="447" spans="1:13" x14ac:dyDescent="0.25">
      <c r="A447" s="23"/>
      <c r="B447" s="23"/>
    </row>
    <row r="448" spans="1:13" s="19" customFormat="1" x14ac:dyDescent="0.25">
      <c r="A448" s="23"/>
      <c r="B448" s="23"/>
      <c r="E448" s="20"/>
      <c r="F448" s="21"/>
      <c r="G448" s="330"/>
      <c r="H448" s="331"/>
      <c r="I448"/>
      <c r="J448" s="22"/>
      <c r="K448" s="332"/>
      <c r="L448" s="332"/>
      <c r="M448"/>
    </row>
    <row r="449" spans="1:13" s="19" customFormat="1" x14ac:dyDescent="0.25">
      <c r="A449" s="23"/>
      <c r="B449" s="22"/>
      <c r="E449" s="20"/>
      <c r="F449" s="21"/>
      <c r="G449" s="330"/>
      <c r="H449" s="331"/>
      <c r="I449"/>
      <c r="J449" s="22"/>
      <c r="K449" s="332"/>
      <c r="L449" s="332"/>
      <c r="M449"/>
    </row>
    <row r="450" spans="1:13" s="19" customFormat="1" x14ac:dyDescent="0.25">
      <c r="A450" s="27" t="s">
        <v>999</v>
      </c>
      <c r="B450" s="23"/>
      <c r="E450" s="20"/>
      <c r="F450" s="21"/>
      <c r="G450" s="330"/>
      <c r="H450" s="331"/>
      <c r="I450"/>
      <c r="J450" s="22"/>
      <c r="K450" s="332"/>
      <c r="L450" s="332"/>
      <c r="M450"/>
    </row>
    <row r="451" spans="1:13" s="19" customFormat="1" x14ac:dyDescent="0.25">
      <c r="A451"/>
      <c r="B451" s="23" t="s">
        <v>1162</v>
      </c>
      <c r="C451" s="26"/>
      <c r="E451" s="20"/>
      <c r="F451" s="21"/>
      <c r="G451" s="330"/>
      <c r="H451" s="331"/>
      <c r="I451"/>
      <c r="J451" s="22"/>
      <c r="K451" s="332"/>
      <c r="L451" s="332"/>
      <c r="M451"/>
    </row>
    <row r="452" spans="1:13" s="19" customFormat="1" x14ac:dyDescent="0.25">
      <c r="A452"/>
      <c r="B452" s="23"/>
      <c r="C452" s="26" t="s">
        <v>1163</v>
      </c>
      <c r="E452" s="20"/>
      <c r="F452" s="21"/>
      <c r="G452" s="330"/>
      <c r="H452" s="331"/>
      <c r="I452"/>
      <c r="J452" s="22"/>
      <c r="K452" s="332"/>
      <c r="L452" s="332"/>
      <c r="M452"/>
    </row>
    <row r="453" spans="1:13" s="19" customFormat="1" x14ac:dyDescent="0.25">
      <c r="A453"/>
      <c r="B453" s="23" t="s">
        <v>1164</v>
      </c>
      <c r="C453" s="26"/>
      <c r="E453" s="20"/>
      <c r="F453" s="21"/>
      <c r="G453" s="330"/>
      <c r="H453" s="331"/>
      <c r="I453"/>
      <c r="J453" s="22"/>
      <c r="K453" s="332"/>
      <c r="L453" s="332"/>
      <c r="M453"/>
    </row>
    <row r="454" spans="1:13" s="19" customFormat="1" x14ac:dyDescent="0.25">
      <c r="A454"/>
      <c r="B454" s="23"/>
      <c r="C454" s="26" t="s">
        <v>1165</v>
      </c>
      <c r="E454" s="20"/>
      <c r="F454" s="21"/>
      <c r="G454" s="330"/>
      <c r="H454" s="331"/>
      <c r="I454"/>
      <c r="J454" s="22"/>
      <c r="K454" s="332"/>
      <c r="L454" s="332"/>
      <c r="M454"/>
    </row>
    <row r="455" spans="1:13" s="19" customFormat="1" x14ac:dyDescent="0.25">
      <c r="A455"/>
      <c r="B455" s="23"/>
      <c r="C455" s="26" t="s">
        <v>1166</v>
      </c>
      <c r="E455" s="20"/>
      <c r="F455" s="21"/>
      <c r="G455" s="330"/>
      <c r="H455" s="331"/>
      <c r="I455"/>
      <c r="J455" s="22"/>
      <c r="K455" s="332"/>
      <c r="L455" s="332"/>
      <c r="M455"/>
    </row>
    <row r="456" spans="1:13" s="19" customFormat="1" x14ac:dyDescent="0.25">
      <c r="A456"/>
      <c r="B456" s="23" t="s">
        <v>1167</v>
      </c>
      <c r="C456" s="26"/>
      <c r="E456" s="20"/>
      <c r="F456" s="21"/>
      <c r="G456" s="330"/>
      <c r="H456" s="331"/>
      <c r="I456"/>
      <c r="J456" s="22"/>
      <c r="K456" s="332"/>
      <c r="L456" s="332"/>
      <c r="M456"/>
    </row>
    <row r="457" spans="1:13" s="19" customFormat="1" x14ac:dyDescent="0.25">
      <c r="A457"/>
      <c r="B457" s="23"/>
      <c r="C457" s="26" t="s">
        <v>1168</v>
      </c>
      <c r="E457" s="20"/>
      <c r="F457" s="21"/>
      <c r="G457" s="330"/>
      <c r="H457" s="331"/>
      <c r="I457"/>
      <c r="J457" s="22"/>
      <c r="K457" s="332"/>
      <c r="L457" s="332"/>
      <c r="M457"/>
    </row>
    <row r="458" spans="1:13" s="19" customFormat="1" x14ac:dyDescent="0.25">
      <c r="A458"/>
      <c r="B458" s="23"/>
      <c r="C458" s="26" t="s">
        <v>1169</v>
      </c>
      <c r="E458" s="20"/>
      <c r="F458" s="21"/>
      <c r="G458" s="330"/>
      <c r="H458" s="331"/>
      <c r="I458"/>
      <c r="J458" s="22"/>
      <c r="K458" s="332"/>
      <c r="L458" s="332"/>
      <c r="M458"/>
    </row>
    <row r="459" spans="1:13" s="19" customFormat="1" x14ac:dyDescent="0.25">
      <c r="A459"/>
      <c r="B459" s="23"/>
      <c r="C459" s="26" t="s">
        <v>1170</v>
      </c>
      <c r="E459" s="20"/>
      <c r="F459" s="21"/>
      <c r="G459" s="330"/>
      <c r="H459" s="331"/>
      <c r="I459"/>
      <c r="J459" s="22"/>
      <c r="K459" s="332"/>
      <c r="L459" s="332"/>
      <c r="M459"/>
    </row>
    <row r="460" spans="1:13" s="19" customFormat="1" x14ac:dyDescent="0.25">
      <c r="A460"/>
      <c r="B460" s="23"/>
      <c r="C460" s="26" t="s">
        <v>1171</v>
      </c>
      <c r="E460" s="20"/>
      <c r="F460" s="21"/>
      <c r="G460" s="330"/>
      <c r="H460" s="331"/>
      <c r="I460"/>
      <c r="J460" s="22"/>
      <c r="K460" s="332"/>
      <c r="L460" s="332"/>
      <c r="M460"/>
    </row>
    <row r="461" spans="1:13" s="19" customFormat="1" x14ac:dyDescent="0.25">
      <c r="A461"/>
      <c r="B461" s="23"/>
      <c r="C461" s="26"/>
      <c r="E461" s="20"/>
      <c r="F461" s="21"/>
      <c r="G461" s="330"/>
      <c r="H461" s="331"/>
      <c r="I461"/>
      <c r="J461" s="22"/>
      <c r="K461" s="332"/>
      <c r="L461" s="332"/>
      <c r="M461"/>
    </row>
    <row r="462" spans="1:13" s="19" customFormat="1" x14ac:dyDescent="0.25">
      <c r="A462"/>
      <c r="B462" s="23" t="s">
        <v>1172</v>
      </c>
      <c r="C462" s="26"/>
      <c r="E462" s="20"/>
      <c r="F462" s="21"/>
      <c r="G462" s="330"/>
      <c r="H462" s="331"/>
      <c r="I462"/>
      <c r="J462" s="22"/>
      <c r="K462" s="332"/>
      <c r="L462" s="332"/>
      <c r="M462"/>
    </row>
    <row r="463" spans="1:13" s="19" customFormat="1" x14ac:dyDescent="0.25">
      <c r="A463"/>
      <c r="B463" s="23"/>
      <c r="C463" s="26"/>
      <c r="E463" s="20"/>
      <c r="F463" s="21"/>
      <c r="G463" s="330"/>
      <c r="H463" s="331"/>
      <c r="I463"/>
      <c r="J463" s="22"/>
      <c r="K463" s="332"/>
      <c r="L463" s="332"/>
      <c r="M463"/>
    </row>
    <row r="464" spans="1:13" s="19" customFormat="1" x14ac:dyDescent="0.25">
      <c r="A464"/>
      <c r="B464" s="23" t="s">
        <v>1173</v>
      </c>
      <c r="C464" s="26"/>
      <c r="E464" s="20"/>
      <c r="F464" s="21"/>
      <c r="G464" s="330"/>
      <c r="H464" s="331"/>
      <c r="I464"/>
      <c r="J464" s="22"/>
      <c r="K464" s="332"/>
      <c r="L464" s="332"/>
      <c r="M464"/>
    </row>
    <row r="465" spans="1:13" s="19" customFormat="1" x14ac:dyDescent="0.25">
      <c r="A465"/>
      <c r="B465" s="23"/>
      <c r="C465" s="26"/>
      <c r="E465" s="20"/>
      <c r="F465" s="21"/>
      <c r="G465" s="330"/>
      <c r="H465" s="331"/>
      <c r="I465"/>
      <c r="J465" s="22"/>
      <c r="K465" s="332"/>
      <c r="L465" s="332"/>
      <c r="M465"/>
    </row>
    <row r="466" spans="1:13" s="19" customFormat="1" x14ac:dyDescent="0.25">
      <c r="A466"/>
      <c r="B466" s="23" t="s">
        <v>1174</v>
      </c>
      <c r="C466" s="26"/>
      <c r="E466" s="20"/>
      <c r="F466" s="21"/>
      <c r="G466" s="330"/>
      <c r="H466" s="331"/>
      <c r="I466"/>
      <c r="J466" s="22"/>
      <c r="K466" s="332"/>
      <c r="L466" s="332"/>
      <c r="M466"/>
    </row>
  </sheetData>
  <dataValidations count="1">
    <dataValidation type="list" allowBlank="1" showInputMessage="1" showErrorMessage="1" sqref="F9:F10 F12:F13 F5:F6 F15:F16">
      <formula1>lista_lucrari</formula1>
    </dataValidation>
  </dataValidations>
  <hyperlinks>
    <hyperlink ref="J77" r:id="rId1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rgb="FF7030A0"/>
  </sheetPr>
  <dimension ref="A1:F112"/>
  <sheetViews>
    <sheetView topLeftCell="A16" workbookViewId="0">
      <selection activeCell="R6" sqref="R6"/>
    </sheetView>
  </sheetViews>
  <sheetFormatPr defaultColWidth="9.140625" defaultRowHeight="12.75" x14ac:dyDescent="0.25"/>
  <cols>
    <col min="1" max="1" width="7.140625" style="302" customWidth="1"/>
    <col min="2" max="2" width="11.140625" style="302" customWidth="1"/>
    <col min="3" max="3" width="87" style="302" customWidth="1"/>
    <col min="4" max="4" width="11.140625" style="303" customWidth="1"/>
    <col min="5" max="5" width="11.85546875" style="304" customWidth="1"/>
    <col min="6" max="6" width="10.28515625" style="324" customWidth="1"/>
    <col min="7" max="16384" width="9.140625" style="302"/>
  </cols>
  <sheetData>
    <row r="1" spans="1:6" ht="13.15" x14ac:dyDescent="0.3">
      <c r="A1" s="301" t="s">
        <v>1043</v>
      </c>
      <c r="F1" s="305"/>
    </row>
    <row r="2" spans="1:6" ht="26.45" x14ac:dyDescent="0.3">
      <c r="A2" s="306" t="s">
        <v>595</v>
      </c>
      <c r="B2" s="306" t="s">
        <v>596</v>
      </c>
      <c r="C2" s="306" t="s">
        <v>1044</v>
      </c>
      <c r="D2" s="306" t="s">
        <v>596</v>
      </c>
      <c r="E2" s="307" t="s">
        <v>7</v>
      </c>
      <c r="F2" s="307" t="s">
        <v>1045</v>
      </c>
    </row>
    <row r="3" spans="1:6" ht="13.15" x14ac:dyDescent="0.3">
      <c r="A3" s="306">
        <v>1</v>
      </c>
      <c r="B3" s="306">
        <v>2</v>
      </c>
      <c r="C3" s="306">
        <v>3</v>
      </c>
      <c r="D3" s="306">
        <v>4</v>
      </c>
      <c r="E3" s="308">
        <v>5</v>
      </c>
      <c r="F3" s="308">
        <v>6</v>
      </c>
    </row>
    <row r="4" spans="1:6" ht="13.15" x14ac:dyDescent="0.3">
      <c r="A4" s="309">
        <v>1</v>
      </c>
      <c r="B4" s="310" t="s">
        <v>597</v>
      </c>
      <c r="C4" s="311" t="s">
        <v>598</v>
      </c>
      <c r="D4" s="310" t="s">
        <v>597</v>
      </c>
      <c r="E4" s="312" t="s">
        <v>4</v>
      </c>
      <c r="F4" s="313">
        <v>55</v>
      </c>
    </row>
    <row r="5" spans="1:6" ht="13.15" x14ac:dyDescent="0.3">
      <c r="A5" s="309">
        <v>2</v>
      </c>
      <c r="B5" s="310" t="s">
        <v>599</v>
      </c>
      <c r="C5" s="311" t="s">
        <v>505</v>
      </c>
      <c r="D5" s="310" t="s">
        <v>599</v>
      </c>
      <c r="E5" s="312" t="s">
        <v>4</v>
      </c>
      <c r="F5" s="313">
        <v>35</v>
      </c>
    </row>
    <row r="6" spans="1:6" ht="13.15" x14ac:dyDescent="0.3">
      <c r="A6" s="309">
        <v>3</v>
      </c>
      <c r="B6" s="310" t="s">
        <v>600</v>
      </c>
      <c r="C6" s="311" t="s">
        <v>601</v>
      </c>
      <c r="D6" s="310" t="s">
        <v>600</v>
      </c>
      <c r="E6" s="312" t="s">
        <v>4</v>
      </c>
      <c r="F6" s="313">
        <v>85</v>
      </c>
    </row>
    <row r="7" spans="1:6" ht="13.15" x14ac:dyDescent="0.3">
      <c r="A7" s="309">
        <v>4</v>
      </c>
      <c r="B7" s="310" t="s">
        <v>602</v>
      </c>
      <c r="C7" s="311" t="s">
        <v>506</v>
      </c>
      <c r="D7" s="310" t="s">
        <v>602</v>
      </c>
      <c r="E7" s="312" t="s">
        <v>4</v>
      </c>
      <c r="F7" s="313">
        <v>250</v>
      </c>
    </row>
    <row r="8" spans="1:6" ht="13.15" x14ac:dyDescent="0.3">
      <c r="A8" s="309">
        <v>5</v>
      </c>
      <c r="B8" s="310" t="s">
        <v>603</v>
      </c>
      <c r="C8" s="311" t="s">
        <v>604</v>
      </c>
      <c r="D8" s="310" t="s">
        <v>603</v>
      </c>
      <c r="E8" s="312" t="s">
        <v>4</v>
      </c>
      <c r="F8" s="313">
        <v>450</v>
      </c>
    </row>
    <row r="9" spans="1:6" ht="13.15" x14ac:dyDescent="0.3">
      <c r="A9" s="309">
        <v>6</v>
      </c>
      <c r="B9" s="310" t="s">
        <v>605</v>
      </c>
      <c r="C9" s="311" t="s">
        <v>606</v>
      </c>
      <c r="D9" s="310" t="s">
        <v>605</v>
      </c>
      <c r="E9" s="312" t="s">
        <v>9</v>
      </c>
      <c r="F9" s="313">
        <v>6</v>
      </c>
    </row>
    <row r="10" spans="1:6" ht="13.15" x14ac:dyDescent="0.3">
      <c r="A10" s="309">
        <v>7</v>
      </c>
      <c r="B10" s="310" t="s">
        <v>607</v>
      </c>
      <c r="C10" s="311" t="s">
        <v>608</v>
      </c>
      <c r="D10" s="310" t="s">
        <v>607</v>
      </c>
      <c r="E10" s="312" t="s">
        <v>3</v>
      </c>
      <c r="F10" s="313">
        <v>37</v>
      </c>
    </row>
    <row r="11" spans="1:6" ht="13.15" x14ac:dyDescent="0.3">
      <c r="A11" s="309">
        <v>8</v>
      </c>
      <c r="B11" s="310" t="s">
        <v>609</v>
      </c>
      <c r="C11" s="311" t="s">
        <v>610</v>
      </c>
      <c r="D11" s="310" t="s">
        <v>609</v>
      </c>
      <c r="E11" s="312" t="s">
        <v>4</v>
      </c>
      <c r="F11" s="313">
        <f>F8</f>
        <v>450</v>
      </c>
    </row>
    <row r="12" spans="1:6" ht="13.15" x14ac:dyDescent="0.3">
      <c r="A12" s="309">
        <v>9</v>
      </c>
      <c r="B12" s="310" t="s">
        <v>611</v>
      </c>
      <c r="C12" s="311" t="s">
        <v>612</v>
      </c>
      <c r="D12" s="310" t="s">
        <v>611</v>
      </c>
      <c r="E12" s="312" t="s">
        <v>9</v>
      </c>
      <c r="F12" s="313">
        <v>8</v>
      </c>
    </row>
    <row r="13" spans="1:6" ht="13.15" x14ac:dyDescent="0.3">
      <c r="A13" s="309">
        <v>10</v>
      </c>
      <c r="B13" s="310" t="s">
        <v>613</v>
      </c>
      <c r="C13" s="311" t="s">
        <v>614</v>
      </c>
      <c r="D13" s="310" t="s">
        <v>613</v>
      </c>
      <c r="E13" s="312" t="s">
        <v>4</v>
      </c>
      <c r="F13" s="313">
        <f>F11</f>
        <v>450</v>
      </c>
    </row>
    <row r="14" spans="1:6" ht="13.15" x14ac:dyDescent="0.3">
      <c r="A14" s="309">
        <v>11</v>
      </c>
      <c r="B14" s="310" t="s">
        <v>615</v>
      </c>
      <c r="C14" s="311" t="s">
        <v>616</v>
      </c>
      <c r="D14" s="310" t="s">
        <v>615</v>
      </c>
      <c r="E14" s="312" t="s">
        <v>9</v>
      </c>
      <c r="F14" s="313">
        <f>F9</f>
        <v>6</v>
      </c>
    </row>
    <row r="15" spans="1:6" ht="13.15" x14ac:dyDescent="0.3">
      <c r="A15" s="309">
        <v>12</v>
      </c>
      <c r="B15" s="310" t="s">
        <v>617</v>
      </c>
      <c r="C15" s="311" t="s">
        <v>618</v>
      </c>
      <c r="D15" s="310" t="s">
        <v>617</v>
      </c>
      <c r="E15" s="312" t="s">
        <v>3</v>
      </c>
      <c r="F15" s="313">
        <f>F10</f>
        <v>37</v>
      </c>
    </row>
    <row r="16" spans="1:6" ht="13.15" x14ac:dyDescent="0.3">
      <c r="A16" s="309">
        <v>13</v>
      </c>
      <c r="B16" s="310" t="s">
        <v>619</v>
      </c>
      <c r="C16" s="311" t="s">
        <v>620</v>
      </c>
      <c r="D16" s="310" t="s">
        <v>619</v>
      </c>
      <c r="E16" s="312" t="s">
        <v>4</v>
      </c>
      <c r="F16" s="313">
        <f>F13</f>
        <v>450</v>
      </c>
    </row>
    <row r="17" spans="1:6" ht="13.15" x14ac:dyDescent="0.3">
      <c r="A17" s="309">
        <v>14</v>
      </c>
      <c r="B17" s="310" t="s">
        <v>621</v>
      </c>
      <c r="C17" s="311" t="s">
        <v>622</v>
      </c>
      <c r="D17" s="310" t="s">
        <v>621</v>
      </c>
      <c r="E17" s="312" t="s">
        <v>9</v>
      </c>
      <c r="F17" s="313">
        <f>F9</f>
        <v>6</v>
      </c>
    </row>
    <row r="18" spans="1:6" ht="13.15" x14ac:dyDescent="0.3">
      <c r="A18" s="309">
        <v>15</v>
      </c>
      <c r="B18" s="310" t="s">
        <v>623</v>
      </c>
      <c r="C18" s="311" t="s">
        <v>624</v>
      </c>
      <c r="D18" s="310" t="s">
        <v>623</v>
      </c>
      <c r="E18" s="312" t="s">
        <v>3</v>
      </c>
      <c r="F18" s="313">
        <f>F10</f>
        <v>37</v>
      </c>
    </row>
    <row r="19" spans="1:6" ht="13.15" x14ac:dyDescent="0.3">
      <c r="A19" s="309">
        <v>16</v>
      </c>
      <c r="B19" s="310" t="s">
        <v>625</v>
      </c>
      <c r="C19" s="311" t="s">
        <v>626</v>
      </c>
      <c r="D19" s="310" t="s">
        <v>625</v>
      </c>
      <c r="E19" s="312" t="s">
        <v>4</v>
      </c>
      <c r="F19" s="313">
        <f>F13</f>
        <v>450</v>
      </c>
    </row>
    <row r="20" spans="1:6" ht="13.15" x14ac:dyDescent="0.3">
      <c r="A20" s="309">
        <v>17</v>
      </c>
      <c r="B20" s="310" t="s">
        <v>627</v>
      </c>
      <c r="C20" s="311" t="s">
        <v>628</v>
      </c>
      <c r="D20" s="310" t="s">
        <v>627</v>
      </c>
      <c r="E20" s="312" t="s">
        <v>9</v>
      </c>
      <c r="F20" s="313">
        <f>F9</f>
        <v>6</v>
      </c>
    </row>
    <row r="21" spans="1:6" ht="13.15" x14ac:dyDescent="0.3">
      <c r="A21" s="309">
        <v>18</v>
      </c>
      <c r="B21" s="310" t="s">
        <v>629</v>
      </c>
      <c r="C21" s="311" t="s">
        <v>630</v>
      </c>
      <c r="D21" s="310" t="s">
        <v>629</v>
      </c>
      <c r="E21" s="312" t="s">
        <v>3</v>
      </c>
      <c r="F21" s="313">
        <f>F5</f>
        <v>35</v>
      </c>
    </row>
    <row r="22" spans="1:6" ht="13.15" x14ac:dyDescent="0.3">
      <c r="A22" s="309">
        <v>19</v>
      </c>
      <c r="B22" s="310" t="s">
        <v>631</v>
      </c>
      <c r="C22" s="311" t="s">
        <v>632</v>
      </c>
      <c r="D22" s="310" t="s">
        <v>631</v>
      </c>
      <c r="E22" s="312" t="s">
        <v>4</v>
      </c>
      <c r="F22" s="313">
        <f>F6</f>
        <v>85</v>
      </c>
    </row>
    <row r="23" spans="1:6" ht="13.15" x14ac:dyDescent="0.3">
      <c r="A23" s="309">
        <v>20</v>
      </c>
      <c r="B23" s="310" t="s">
        <v>633</v>
      </c>
      <c r="C23" s="311" t="s">
        <v>634</v>
      </c>
      <c r="D23" s="310" t="s">
        <v>633</v>
      </c>
      <c r="E23" s="312" t="s">
        <v>9</v>
      </c>
      <c r="F23" s="313">
        <v>4.5</v>
      </c>
    </row>
    <row r="24" spans="1:6" ht="13.15" x14ac:dyDescent="0.3">
      <c r="A24" s="309">
        <v>21</v>
      </c>
      <c r="B24" s="310" t="s">
        <v>635</v>
      </c>
      <c r="C24" s="311" t="s">
        <v>636</v>
      </c>
      <c r="D24" s="310" t="s">
        <v>635</v>
      </c>
      <c r="E24" s="312" t="s">
        <v>3</v>
      </c>
      <c r="F24" s="313">
        <f>F18</f>
        <v>37</v>
      </c>
    </row>
    <row r="25" spans="1:6" ht="13.15" x14ac:dyDescent="0.3">
      <c r="A25" s="309">
        <v>22</v>
      </c>
      <c r="B25" s="310" t="s">
        <v>637</v>
      </c>
      <c r="C25" s="311" t="s">
        <v>638</v>
      </c>
      <c r="D25" s="310" t="s">
        <v>637</v>
      </c>
      <c r="E25" s="312" t="s">
        <v>3</v>
      </c>
      <c r="F25" s="313">
        <v>45</v>
      </c>
    </row>
    <row r="26" spans="1:6" ht="13.15" x14ac:dyDescent="0.3">
      <c r="A26" s="309">
        <v>23</v>
      </c>
      <c r="B26" s="310" t="s">
        <v>639</v>
      </c>
      <c r="C26" s="311" t="s">
        <v>640</v>
      </c>
      <c r="D26" s="310" t="s">
        <v>639</v>
      </c>
      <c r="E26" s="312" t="s">
        <v>4</v>
      </c>
      <c r="F26" s="313">
        <v>180</v>
      </c>
    </row>
    <row r="27" spans="1:6" ht="13.15" x14ac:dyDescent="0.3">
      <c r="A27" s="309">
        <v>24</v>
      </c>
      <c r="B27" s="310" t="s">
        <v>641</v>
      </c>
      <c r="C27" s="311" t="s">
        <v>642</v>
      </c>
      <c r="D27" s="310" t="s">
        <v>641</v>
      </c>
      <c r="E27" s="312" t="s">
        <v>4</v>
      </c>
      <c r="F27" s="313">
        <v>410</v>
      </c>
    </row>
    <row r="28" spans="1:6" ht="13.15" x14ac:dyDescent="0.3">
      <c r="A28" s="309">
        <v>25</v>
      </c>
      <c r="B28" s="310" t="s">
        <v>643</v>
      </c>
      <c r="C28" s="311" t="s">
        <v>644</v>
      </c>
      <c r="D28" s="310" t="s">
        <v>643</v>
      </c>
      <c r="E28" s="312" t="s">
        <v>9</v>
      </c>
      <c r="F28" s="313">
        <f>F23</f>
        <v>4.5</v>
      </c>
    </row>
    <row r="29" spans="1:6" ht="13.15" x14ac:dyDescent="0.3">
      <c r="A29" s="309">
        <v>26</v>
      </c>
      <c r="B29" s="310" t="s">
        <v>645</v>
      </c>
      <c r="C29" s="314" t="s">
        <v>646</v>
      </c>
      <c r="D29" s="310" t="s">
        <v>645</v>
      </c>
      <c r="E29" s="312" t="s">
        <v>3</v>
      </c>
      <c r="F29" s="313">
        <v>40</v>
      </c>
    </row>
    <row r="30" spans="1:6" ht="13.15" x14ac:dyDescent="0.3">
      <c r="A30" s="309">
        <v>27</v>
      </c>
      <c r="B30" s="310" t="s">
        <v>647</v>
      </c>
      <c r="C30" s="314" t="s">
        <v>648</v>
      </c>
      <c r="D30" s="310" t="s">
        <v>647</v>
      </c>
      <c r="E30" s="312" t="s">
        <v>3</v>
      </c>
      <c r="F30" s="313">
        <v>120</v>
      </c>
    </row>
    <row r="31" spans="1:6" ht="13.15" x14ac:dyDescent="0.3">
      <c r="A31" s="309">
        <v>28</v>
      </c>
      <c r="B31" s="310" t="s">
        <v>649</v>
      </c>
      <c r="C31" s="314" t="s">
        <v>650</v>
      </c>
      <c r="D31" s="310" t="s">
        <v>649</v>
      </c>
      <c r="E31" s="312" t="s">
        <v>3</v>
      </c>
      <c r="F31" s="313">
        <v>40</v>
      </c>
    </row>
    <row r="32" spans="1:6" ht="13.15" x14ac:dyDescent="0.3">
      <c r="A32" s="309">
        <v>29</v>
      </c>
      <c r="B32" s="310" t="s">
        <v>651</v>
      </c>
      <c r="C32" s="314" t="s">
        <v>652</v>
      </c>
      <c r="D32" s="310" t="s">
        <v>651</v>
      </c>
      <c r="E32" s="312" t="s">
        <v>3</v>
      </c>
      <c r="F32" s="313">
        <v>25</v>
      </c>
    </row>
    <row r="33" spans="1:6" ht="13.15" x14ac:dyDescent="0.3">
      <c r="A33" s="309">
        <v>30</v>
      </c>
      <c r="B33" s="310" t="s">
        <v>653</v>
      </c>
      <c r="C33" s="314" t="s">
        <v>119</v>
      </c>
      <c r="D33" s="310" t="s">
        <v>653</v>
      </c>
      <c r="E33" s="312" t="s">
        <v>3</v>
      </c>
      <c r="F33" s="313">
        <v>55</v>
      </c>
    </row>
    <row r="34" spans="1:6" ht="13.15" x14ac:dyDescent="0.3">
      <c r="A34" s="309">
        <v>31</v>
      </c>
      <c r="B34" s="310" t="s">
        <v>654</v>
      </c>
      <c r="C34" s="315" t="s">
        <v>655</v>
      </c>
      <c r="D34" s="310" t="s">
        <v>654</v>
      </c>
      <c r="E34" s="312" t="s">
        <v>9</v>
      </c>
      <c r="F34" s="313">
        <v>8</v>
      </c>
    </row>
    <row r="35" spans="1:6" ht="13.15" x14ac:dyDescent="0.3">
      <c r="A35" s="309">
        <v>32</v>
      </c>
      <c r="B35" s="310" t="s">
        <v>656</v>
      </c>
      <c r="C35" s="316" t="s">
        <v>657</v>
      </c>
      <c r="D35" s="310" t="s">
        <v>656</v>
      </c>
      <c r="E35" s="312" t="s">
        <v>4</v>
      </c>
      <c r="F35" s="313">
        <v>40</v>
      </c>
    </row>
    <row r="36" spans="1:6" ht="13.15" x14ac:dyDescent="0.3">
      <c r="A36" s="309">
        <v>33</v>
      </c>
      <c r="B36" s="310" t="s">
        <v>658</v>
      </c>
      <c r="C36" s="314" t="s">
        <v>1040</v>
      </c>
      <c r="D36" s="310" t="s">
        <v>658</v>
      </c>
      <c r="E36" s="312" t="s">
        <v>660</v>
      </c>
      <c r="F36" s="313">
        <v>30</v>
      </c>
    </row>
    <row r="37" spans="1:6" ht="13.15" x14ac:dyDescent="0.3">
      <c r="A37" s="309">
        <v>34</v>
      </c>
      <c r="B37" s="310" t="s">
        <v>661</v>
      </c>
      <c r="C37" s="314" t="s">
        <v>662</v>
      </c>
      <c r="D37" s="310" t="s">
        <v>661</v>
      </c>
      <c r="E37" s="312" t="s">
        <v>4</v>
      </c>
      <c r="F37" s="313">
        <f>F8</f>
        <v>450</v>
      </c>
    </row>
    <row r="38" spans="1:6" ht="13.15" x14ac:dyDescent="0.3">
      <c r="A38" s="309">
        <v>35</v>
      </c>
      <c r="B38" s="310" t="s">
        <v>663</v>
      </c>
      <c r="C38" s="314" t="s">
        <v>664</v>
      </c>
      <c r="D38" s="310" t="s">
        <v>663</v>
      </c>
      <c r="E38" s="312" t="s">
        <v>9</v>
      </c>
      <c r="F38" s="313">
        <v>8</v>
      </c>
    </row>
    <row r="39" spans="1:6" ht="13.15" x14ac:dyDescent="0.3">
      <c r="A39" s="309">
        <v>36</v>
      </c>
      <c r="B39" s="310" t="s">
        <v>665</v>
      </c>
      <c r="C39" s="314" t="s">
        <v>666</v>
      </c>
      <c r="D39" s="310" t="s">
        <v>665</v>
      </c>
      <c r="E39" s="312" t="s">
        <v>3</v>
      </c>
      <c r="F39" s="313">
        <f>F10</f>
        <v>37</v>
      </c>
    </row>
    <row r="40" spans="1:6" ht="13.15" x14ac:dyDescent="0.3">
      <c r="A40" s="309">
        <v>37</v>
      </c>
      <c r="B40" s="310" t="s">
        <v>667</v>
      </c>
      <c r="C40" s="314" t="s">
        <v>668</v>
      </c>
      <c r="D40" s="310" t="s">
        <v>667</v>
      </c>
      <c r="E40" s="312" t="s">
        <v>9</v>
      </c>
      <c r="F40" s="313">
        <v>6</v>
      </c>
    </row>
    <row r="41" spans="1:6" ht="13.15" x14ac:dyDescent="0.3">
      <c r="A41" s="309">
        <v>38</v>
      </c>
      <c r="B41" s="310" t="s">
        <v>669</v>
      </c>
      <c r="C41" s="316" t="s">
        <v>511</v>
      </c>
      <c r="D41" s="310" t="s">
        <v>669</v>
      </c>
      <c r="E41" s="312" t="s">
        <v>4</v>
      </c>
      <c r="F41" s="313">
        <v>600</v>
      </c>
    </row>
    <row r="42" spans="1:6" ht="13.15" x14ac:dyDescent="0.3">
      <c r="A42" s="309">
        <v>39</v>
      </c>
      <c r="B42" s="310" t="s">
        <v>670</v>
      </c>
      <c r="C42" s="316" t="s">
        <v>671</v>
      </c>
      <c r="D42" s="310" t="s">
        <v>670</v>
      </c>
      <c r="E42" s="312" t="s">
        <v>4</v>
      </c>
      <c r="F42" s="313">
        <f>F8</f>
        <v>450</v>
      </c>
    </row>
    <row r="43" spans="1:6" ht="13.15" x14ac:dyDescent="0.3">
      <c r="A43" s="309">
        <v>40</v>
      </c>
      <c r="B43" s="310" t="s">
        <v>672</v>
      </c>
      <c r="C43" s="316" t="s">
        <v>673</v>
      </c>
      <c r="D43" s="310" t="s">
        <v>672</v>
      </c>
      <c r="E43" s="312" t="s">
        <v>9</v>
      </c>
      <c r="F43" s="313">
        <f>F9</f>
        <v>6</v>
      </c>
    </row>
    <row r="44" spans="1:6" ht="13.15" x14ac:dyDescent="0.3">
      <c r="A44" s="309">
        <v>41</v>
      </c>
      <c r="B44" s="310" t="s">
        <v>674</v>
      </c>
      <c r="C44" s="317" t="s">
        <v>675</v>
      </c>
      <c r="D44" s="310" t="s">
        <v>674</v>
      </c>
      <c r="E44" s="312" t="s">
        <v>3</v>
      </c>
      <c r="F44" s="313">
        <v>500</v>
      </c>
    </row>
    <row r="45" spans="1:6" ht="13.9" x14ac:dyDescent="0.3">
      <c r="A45" s="309">
        <v>42</v>
      </c>
      <c r="B45" s="318" t="s">
        <v>676</v>
      </c>
      <c r="C45" s="319" t="s">
        <v>677</v>
      </c>
      <c r="D45" s="318" t="s">
        <v>676</v>
      </c>
      <c r="E45" s="320" t="s">
        <v>4</v>
      </c>
      <c r="F45" s="313">
        <v>520</v>
      </c>
    </row>
    <row r="46" spans="1:6" ht="14.25" x14ac:dyDescent="0.25">
      <c r="A46" s="309">
        <v>43</v>
      </c>
      <c r="B46" s="318" t="s">
        <v>678</v>
      </c>
      <c r="C46" s="319" t="s">
        <v>679</v>
      </c>
      <c r="D46" s="318" t="s">
        <v>678</v>
      </c>
      <c r="E46" s="320" t="s">
        <v>4</v>
      </c>
      <c r="F46" s="313">
        <f>$F$27</f>
        <v>410</v>
      </c>
    </row>
    <row r="47" spans="1:6" ht="14.25" x14ac:dyDescent="0.2">
      <c r="A47" s="309">
        <v>44</v>
      </c>
      <c r="B47" s="318" t="s">
        <v>680</v>
      </c>
      <c r="C47" s="321" t="s">
        <v>507</v>
      </c>
      <c r="D47" s="318" t="s">
        <v>680</v>
      </c>
      <c r="E47" s="320" t="s">
        <v>4</v>
      </c>
      <c r="F47" s="313">
        <f t="shared" ref="F47:F50" si="0">$F$27</f>
        <v>410</v>
      </c>
    </row>
    <row r="48" spans="1:6" ht="14.25" x14ac:dyDescent="0.2">
      <c r="A48" s="309">
        <v>45</v>
      </c>
      <c r="B48" s="318" t="s">
        <v>681</v>
      </c>
      <c r="C48" s="321" t="s">
        <v>508</v>
      </c>
      <c r="D48" s="318" t="s">
        <v>681</v>
      </c>
      <c r="E48" s="320" t="s">
        <v>4</v>
      </c>
      <c r="F48" s="313">
        <f t="shared" si="0"/>
        <v>410</v>
      </c>
    </row>
    <row r="49" spans="1:6" ht="14.25" x14ac:dyDescent="0.2">
      <c r="A49" s="309">
        <v>46</v>
      </c>
      <c r="B49" s="318" t="s">
        <v>682</v>
      </c>
      <c r="C49" s="321" t="s">
        <v>509</v>
      </c>
      <c r="D49" s="318" t="s">
        <v>682</v>
      </c>
      <c r="E49" s="320" t="s">
        <v>4</v>
      </c>
      <c r="F49" s="313">
        <f t="shared" si="0"/>
        <v>410</v>
      </c>
    </row>
    <row r="50" spans="1:6" ht="14.25" x14ac:dyDescent="0.2">
      <c r="A50" s="309">
        <v>47</v>
      </c>
      <c r="B50" s="318" t="s">
        <v>683</v>
      </c>
      <c r="C50" s="321" t="s">
        <v>510</v>
      </c>
      <c r="D50" s="318" t="s">
        <v>683</v>
      </c>
      <c r="E50" s="320" t="s">
        <v>4</v>
      </c>
      <c r="F50" s="313">
        <f t="shared" si="0"/>
        <v>410</v>
      </c>
    </row>
    <row r="51" spans="1:6" ht="28.5" x14ac:dyDescent="0.25">
      <c r="A51" s="309">
        <v>48</v>
      </c>
      <c r="B51" s="318" t="s">
        <v>684</v>
      </c>
      <c r="C51" s="322" t="s">
        <v>685</v>
      </c>
      <c r="D51" s="318" t="s">
        <v>684</v>
      </c>
      <c r="E51" s="320" t="s">
        <v>4</v>
      </c>
      <c r="F51" s="313">
        <f>F4</f>
        <v>55</v>
      </c>
    </row>
    <row r="52" spans="1:6" ht="14.25" x14ac:dyDescent="0.2">
      <c r="A52" s="309">
        <v>49</v>
      </c>
      <c r="B52" s="318" t="s">
        <v>686</v>
      </c>
      <c r="C52" s="321" t="s">
        <v>687</v>
      </c>
      <c r="D52" s="318" t="s">
        <v>686</v>
      </c>
      <c r="E52" s="320" t="s">
        <v>4</v>
      </c>
      <c r="F52" s="313">
        <f>F5</f>
        <v>35</v>
      </c>
    </row>
    <row r="53" spans="1:6" ht="14.25" x14ac:dyDescent="0.2">
      <c r="A53" s="309">
        <v>50</v>
      </c>
      <c r="B53" s="318" t="s">
        <v>688</v>
      </c>
      <c r="C53" s="321" t="s">
        <v>689</v>
      </c>
      <c r="D53" s="318" t="s">
        <v>688</v>
      </c>
      <c r="E53" s="323" t="s">
        <v>4</v>
      </c>
      <c r="F53" s="313">
        <f>F46</f>
        <v>410</v>
      </c>
    </row>
    <row r="54" spans="1:6" ht="14.25" x14ac:dyDescent="0.2">
      <c r="A54" s="309">
        <v>51</v>
      </c>
      <c r="B54" s="318" t="s">
        <v>690</v>
      </c>
      <c r="C54" s="321" t="s">
        <v>691</v>
      </c>
      <c r="D54" s="318" t="s">
        <v>690</v>
      </c>
      <c r="E54" s="323" t="s">
        <v>9</v>
      </c>
      <c r="F54" s="313">
        <f>F20</f>
        <v>6</v>
      </c>
    </row>
    <row r="55" spans="1:6" ht="14.25" x14ac:dyDescent="0.2">
      <c r="A55" s="309">
        <v>52</v>
      </c>
      <c r="B55" s="318" t="s">
        <v>692</v>
      </c>
      <c r="C55" s="321" t="s">
        <v>693</v>
      </c>
      <c r="D55" s="318" t="s">
        <v>692</v>
      </c>
      <c r="E55" s="323" t="s">
        <v>3</v>
      </c>
      <c r="F55" s="313">
        <f>F21</f>
        <v>35</v>
      </c>
    </row>
    <row r="56" spans="1:6" x14ac:dyDescent="0.25">
      <c r="A56" s="309">
        <v>53</v>
      </c>
      <c r="B56" s="310" t="s">
        <v>694</v>
      </c>
      <c r="C56" s="311" t="s">
        <v>695</v>
      </c>
      <c r="D56" s="310" t="s">
        <v>694</v>
      </c>
      <c r="E56" s="312" t="s">
        <v>4</v>
      </c>
      <c r="F56" s="313">
        <v>450</v>
      </c>
    </row>
    <row r="57" spans="1:6" x14ac:dyDescent="0.25">
      <c r="A57" s="309">
        <v>54</v>
      </c>
      <c r="B57" s="310" t="s">
        <v>696</v>
      </c>
      <c r="C57" s="316" t="s">
        <v>697</v>
      </c>
      <c r="D57" s="310" t="s">
        <v>696</v>
      </c>
      <c r="E57" s="312" t="s">
        <v>4</v>
      </c>
      <c r="F57" s="313">
        <v>600</v>
      </c>
    </row>
    <row r="58" spans="1:6" x14ac:dyDescent="0.25">
      <c r="A58" s="309">
        <v>55</v>
      </c>
      <c r="B58" s="310" t="s">
        <v>698</v>
      </c>
      <c r="C58" s="316" t="s">
        <v>699</v>
      </c>
      <c r="D58" s="310" t="s">
        <v>698</v>
      </c>
      <c r="E58" s="312" t="s">
        <v>3</v>
      </c>
      <c r="F58" s="313">
        <v>0</v>
      </c>
    </row>
    <row r="59" spans="1:6" x14ac:dyDescent="0.25">
      <c r="A59" s="309">
        <v>56</v>
      </c>
      <c r="B59" s="310" t="s">
        <v>92</v>
      </c>
      <c r="C59" s="316" t="s">
        <v>1013</v>
      </c>
      <c r="D59" s="310" t="s">
        <v>92</v>
      </c>
      <c r="E59" s="312" t="s">
        <v>3</v>
      </c>
      <c r="F59" s="313">
        <v>12.5</v>
      </c>
    </row>
    <row r="60" spans="1:6" ht="25.5" x14ac:dyDescent="0.25">
      <c r="A60" s="309">
        <v>57</v>
      </c>
      <c r="B60" s="310" t="s">
        <v>94</v>
      </c>
      <c r="C60" s="316" t="s">
        <v>1004</v>
      </c>
      <c r="D60" s="310" t="s">
        <v>94</v>
      </c>
      <c r="E60" s="312" t="s">
        <v>3</v>
      </c>
      <c r="F60" s="313">
        <v>18.5</v>
      </c>
    </row>
    <row r="61" spans="1:6" x14ac:dyDescent="0.25">
      <c r="A61" s="309">
        <v>58</v>
      </c>
      <c r="B61" s="310"/>
      <c r="C61" s="316" t="s">
        <v>95</v>
      </c>
      <c r="D61" s="310"/>
      <c r="E61" s="312" t="s">
        <v>75</v>
      </c>
      <c r="F61" s="313">
        <v>10.5</v>
      </c>
    </row>
    <row r="62" spans="1:6" x14ac:dyDescent="0.25">
      <c r="A62" s="309">
        <v>59</v>
      </c>
      <c r="B62" s="310"/>
      <c r="C62" s="316" t="s">
        <v>1000</v>
      </c>
      <c r="D62" s="310"/>
      <c r="E62" s="312" t="s">
        <v>1</v>
      </c>
      <c r="F62" s="313">
        <v>30</v>
      </c>
    </row>
    <row r="63" spans="1:6" x14ac:dyDescent="0.25">
      <c r="A63" s="309">
        <v>60</v>
      </c>
      <c r="B63" s="310" t="s">
        <v>1046</v>
      </c>
      <c r="C63" s="316" t="s">
        <v>1034</v>
      </c>
      <c r="D63" s="310" t="s">
        <v>1046</v>
      </c>
      <c r="E63" s="312" t="s">
        <v>1046</v>
      </c>
      <c r="F63" s="313">
        <v>0</v>
      </c>
    </row>
    <row r="64" spans="1:6" ht="25.5" x14ac:dyDescent="0.25">
      <c r="A64" s="309">
        <v>61</v>
      </c>
      <c r="B64" s="310" t="s">
        <v>101</v>
      </c>
      <c r="C64" s="316" t="s">
        <v>1001</v>
      </c>
      <c r="D64" s="310" t="s">
        <v>101</v>
      </c>
      <c r="E64" s="312" t="s">
        <v>3</v>
      </c>
      <c r="F64" s="313">
        <v>40</v>
      </c>
    </row>
    <row r="65" spans="1:6" x14ac:dyDescent="0.25">
      <c r="A65" s="309">
        <v>62</v>
      </c>
      <c r="B65" s="310" t="s">
        <v>103</v>
      </c>
      <c r="C65" s="316" t="s">
        <v>1028</v>
      </c>
      <c r="D65" s="310" t="s">
        <v>103</v>
      </c>
      <c r="E65" s="312" t="s">
        <v>3</v>
      </c>
      <c r="F65" s="313">
        <v>33</v>
      </c>
    </row>
    <row r="66" spans="1:6" x14ac:dyDescent="0.25">
      <c r="A66" s="309">
        <v>63</v>
      </c>
      <c r="B66" s="310"/>
      <c r="C66" s="316" t="s">
        <v>1012</v>
      </c>
      <c r="D66" s="310"/>
      <c r="E66" s="312" t="s">
        <v>3</v>
      </c>
      <c r="F66" s="313">
        <v>42.5</v>
      </c>
    </row>
    <row r="67" spans="1:6" x14ac:dyDescent="0.25">
      <c r="A67" s="309">
        <v>64</v>
      </c>
      <c r="B67" s="310"/>
      <c r="C67" s="316" t="s">
        <v>1009</v>
      </c>
      <c r="D67" s="310"/>
      <c r="E67" s="312" t="s">
        <v>4</v>
      </c>
      <c r="F67" s="313">
        <f>18.6*10</f>
        <v>186</v>
      </c>
    </row>
    <row r="68" spans="1:6" x14ac:dyDescent="0.25">
      <c r="A68" s="309">
        <v>65</v>
      </c>
      <c r="B68" s="310"/>
      <c r="C68" s="316" t="s">
        <v>1014</v>
      </c>
      <c r="D68" s="310"/>
      <c r="E68" s="312" t="s">
        <v>3</v>
      </c>
      <c r="F68" s="313">
        <v>6.5</v>
      </c>
    </row>
    <row r="69" spans="1:6" x14ac:dyDescent="0.25">
      <c r="A69" s="309">
        <v>66</v>
      </c>
      <c r="B69" s="310"/>
      <c r="C69" s="316" t="s">
        <v>1030</v>
      </c>
      <c r="D69" s="310"/>
      <c r="E69" s="312" t="s">
        <v>3</v>
      </c>
      <c r="F69" s="313">
        <v>12.5</v>
      </c>
    </row>
    <row r="70" spans="1:6" x14ac:dyDescent="0.25">
      <c r="A70" s="309">
        <v>67</v>
      </c>
      <c r="B70" s="310"/>
      <c r="C70" s="316" t="s">
        <v>1003</v>
      </c>
      <c r="D70" s="310"/>
      <c r="E70" s="312" t="s">
        <v>4</v>
      </c>
      <c r="F70" s="313">
        <v>69.5</v>
      </c>
    </row>
    <row r="71" spans="1:6" ht="25.5" x14ac:dyDescent="0.25">
      <c r="A71" s="309">
        <v>68</v>
      </c>
      <c r="B71" s="310" t="s">
        <v>116</v>
      </c>
      <c r="C71" s="316" t="s">
        <v>1039</v>
      </c>
      <c r="D71" s="310" t="s">
        <v>116</v>
      </c>
      <c r="E71" s="312" t="s">
        <v>3</v>
      </c>
      <c r="F71" s="313">
        <v>25</v>
      </c>
    </row>
    <row r="72" spans="1:6" x14ac:dyDescent="0.25">
      <c r="A72" s="309">
        <v>69</v>
      </c>
      <c r="B72" s="310"/>
      <c r="C72" s="316" t="s">
        <v>1018</v>
      </c>
      <c r="D72" s="310"/>
      <c r="E72" s="312" t="s">
        <v>3</v>
      </c>
      <c r="F72" s="313">
        <v>17.600000000000001</v>
      </c>
    </row>
    <row r="73" spans="1:6" x14ac:dyDescent="0.25">
      <c r="A73" s="309">
        <v>70</v>
      </c>
      <c r="B73" s="310"/>
      <c r="C73" s="316" t="s">
        <v>1035</v>
      </c>
      <c r="D73" s="310"/>
      <c r="E73" s="312" t="s">
        <v>3</v>
      </c>
      <c r="F73" s="313">
        <v>15.4</v>
      </c>
    </row>
    <row r="74" spans="1:6" x14ac:dyDescent="0.25">
      <c r="A74" s="309">
        <v>71</v>
      </c>
      <c r="B74" s="310"/>
      <c r="C74" s="316" t="s">
        <v>1020</v>
      </c>
      <c r="D74" s="310"/>
      <c r="E74" s="312" t="s">
        <v>3</v>
      </c>
      <c r="F74" s="313">
        <v>24.35</v>
      </c>
    </row>
    <row r="75" spans="1:6" x14ac:dyDescent="0.25">
      <c r="A75" s="309">
        <v>72</v>
      </c>
      <c r="B75" s="310"/>
      <c r="C75" s="316" t="s">
        <v>118</v>
      </c>
      <c r="D75" s="310"/>
      <c r="E75" s="312" t="s">
        <v>3</v>
      </c>
      <c r="F75" s="313">
        <v>25</v>
      </c>
    </row>
    <row r="76" spans="1:6" x14ac:dyDescent="0.25">
      <c r="A76" s="309">
        <v>73</v>
      </c>
      <c r="B76" s="310"/>
      <c r="C76" s="316" t="s">
        <v>1015</v>
      </c>
      <c r="D76" s="310"/>
      <c r="E76" s="312" t="s">
        <v>3</v>
      </c>
      <c r="F76" s="313">
        <v>25</v>
      </c>
    </row>
    <row r="77" spans="1:6" x14ac:dyDescent="0.25">
      <c r="A77" s="309">
        <v>74</v>
      </c>
      <c r="B77" s="310" t="s">
        <v>120</v>
      </c>
      <c r="C77" s="316" t="s">
        <v>1041</v>
      </c>
      <c r="D77" s="310" t="s">
        <v>120</v>
      </c>
      <c r="E77" s="312" t="s">
        <v>3</v>
      </c>
      <c r="F77" s="313">
        <v>58.5</v>
      </c>
    </row>
    <row r="78" spans="1:6" x14ac:dyDescent="0.25">
      <c r="A78" s="309">
        <v>75</v>
      </c>
      <c r="B78" s="310"/>
      <c r="C78" s="316" t="s">
        <v>121</v>
      </c>
      <c r="D78" s="310"/>
      <c r="E78" s="312" t="s">
        <v>75</v>
      </c>
      <c r="F78" s="313">
        <v>12.5</v>
      </c>
    </row>
    <row r="79" spans="1:6" x14ac:dyDescent="0.25">
      <c r="A79" s="309">
        <v>76</v>
      </c>
      <c r="B79" s="310" t="s">
        <v>123</v>
      </c>
      <c r="C79" s="316" t="s">
        <v>1006</v>
      </c>
      <c r="D79" s="310" t="s">
        <v>123</v>
      </c>
      <c r="E79" s="312" t="s">
        <v>3</v>
      </c>
      <c r="F79" s="313">
        <v>15</v>
      </c>
    </row>
    <row r="80" spans="1:6" x14ac:dyDescent="0.25">
      <c r="A80" s="309">
        <v>77</v>
      </c>
      <c r="B80" s="310" t="s">
        <v>92</v>
      </c>
      <c r="C80" s="316" t="s">
        <v>1016</v>
      </c>
      <c r="D80" s="310" t="s">
        <v>92</v>
      </c>
      <c r="E80" s="312" t="s">
        <v>3</v>
      </c>
      <c r="F80" s="313">
        <v>12.5</v>
      </c>
    </row>
    <row r="81" spans="1:6" x14ac:dyDescent="0.25">
      <c r="A81" s="309">
        <v>78</v>
      </c>
      <c r="B81" s="310" t="s">
        <v>124</v>
      </c>
      <c r="C81" s="316" t="s">
        <v>1042</v>
      </c>
      <c r="D81" s="310" t="s">
        <v>124</v>
      </c>
      <c r="E81" s="312" t="s">
        <v>4</v>
      </c>
      <c r="F81" s="313">
        <v>350</v>
      </c>
    </row>
    <row r="82" spans="1:6" x14ac:dyDescent="0.25">
      <c r="A82" s="309">
        <v>79</v>
      </c>
      <c r="B82" s="310" t="s">
        <v>125</v>
      </c>
      <c r="C82" s="316" t="s">
        <v>1037</v>
      </c>
      <c r="D82" s="310" t="s">
        <v>125</v>
      </c>
      <c r="E82" s="312" t="s">
        <v>3</v>
      </c>
      <c r="F82" s="313">
        <v>21.9</v>
      </c>
    </row>
    <row r="83" spans="1:6" x14ac:dyDescent="0.25">
      <c r="A83" s="309">
        <v>80</v>
      </c>
      <c r="B83" s="310" t="s">
        <v>127</v>
      </c>
      <c r="C83" s="316" t="s">
        <v>126</v>
      </c>
      <c r="D83" s="310" t="s">
        <v>127</v>
      </c>
      <c r="E83" s="312" t="s">
        <v>3</v>
      </c>
      <c r="F83" s="313">
        <v>11.5</v>
      </c>
    </row>
    <row r="84" spans="1:6" x14ac:dyDescent="0.25">
      <c r="A84" s="309">
        <v>81</v>
      </c>
      <c r="B84" s="310" t="s">
        <v>129</v>
      </c>
      <c r="C84" s="316" t="s">
        <v>128</v>
      </c>
      <c r="D84" s="310" t="s">
        <v>129</v>
      </c>
      <c r="E84" s="312" t="s">
        <v>3</v>
      </c>
      <c r="F84" s="313">
        <v>7.5</v>
      </c>
    </row>
    <row r="85" spans="1:6" x14ac:dyDescent="0.25">
      <c r="A85" s="309">
        <v>82</v>
      </c>
      <c r="B85" s="310" t="s">
        <v>92</v>
      </c>
      <c r="C85" s="316" t="s">
        <v>1017</v>
      </c>
      <c r="D85" s="310" t="s">
        <v>92</v>
      </c>
      <c r="E85" s="312" t="s">
        <v>3</v>
      </c>
      <c r="F85" s="313">
        <v>12.5</v>
      </c>
    </row>
    <row r="86" spans="1:6" x14ac:dyDescent="0.25">
      <c r="A86" s="309">
        <v>83</v>
      </c>
      <c r="B86" s="310" t="s">
        <v>130</v>
      </c>
      <c r="C86" s="316" t="s">
        <v>1038</v>
      </c>
      <c r="D86" s="310" t="s">
        <v>130</v>
      </c>
      <c r="E86" s="312" t="s">
        <v>3</v>
      </c>
      <c r="F86" s="313">
        <v>30.5</v>
      </c>
    </row>
    <row r="87" spans="1:6" x14ac:dyDescent="0.25">
      <c r="A87" s="309">
        <v>84</v>
      </c>
      <c r="B87" s="310" t="s">
        <v>127</v>
      </c>
      <c r="C87" s="316" t="s">
        <v>1019</v>
      </c>
      <c r="D87" s="310" t="s">
        <v>127</v>
      </c>
      <c r="E87" s="312" t="s">
        <v>3</v>
      </c>
      <c r="F87" s="313">
        <v>11.5</v>
      </c>
    </row>
    <row r="88" spans="1:6" x14ac:dyDescent="0.25">
      <c r="A88" s="309">
        <v>85</v>
      </c>
      <c r="B88" s="310" t="s">
        <v>129</v>
      </c>
      <c r="C88" s="316" t="s">
        <v>131</v>
      </c>
      <c r="D88" s="310" t="s">
        <v>129</v>
      </c>
      <c r="E88" s="312" t="s">
        <v>3</v>
      </c>
      <c r="F88" s="313">
        <v>7.5</v>
      </c>
    </row>
    <row r="89" spans="1:6" x14ac:dyDescent="0.25">
      <c r="A89" s="309">
        <v>86</v>
      </c>
      <c r="B89" s="310" t="s">
        <v>133</v>
      </c>
      <c r="C89" s="316" t="s">
        <v>132</v>
      </c>
      <c r="D89" s="310" t="s">
        <v>133</v>
      </c>
      <c r="E89" s="312" t="s">
        <v>3</v>
      </c>
      <c r="F89" s="313">
        <v>110</v>
      </c>
    </row>
    <row r="90" spans="1:6" x14ac:dyDescent="0.25">
      <c r="A90" s="309">
        <v>87</v>
      </c>
      <c r="B90" s="310" t="s">
        <v>135</v>
      </c>
      <c r="C90" s="316" t="s">
        <v>134</v>
      </c>
      <c r="D90" s="310" t="s">
        <v>135</v>
      </c>
      <c r="E90" s="312" t="s">
        <v>3</v>
      </c>
      <c r="F90" s="313">
        <v>81.75</v>
      </c>
    </row>
    <row r="91" spans="1:6" x14ac:dyDescent="0.25">
      <c r="A91" s="309">
        <v>88</v>
      </c>
      <c r="B91" s="310"/>
      <c r="C91" s="316" t="s">
        <v>1002</v>
      </c>
      <c r="D91" s="310"/>
      <c r="E91" s="312" t="s">
        <v>3</v>
      </c>
      <c r="F91" s="313">
        <v>35</v>
      </c>
    </row>
    <row r="92" spans="1:6" x14ac:dyDescent="0.25">
      <c r="A92" s="309">
        <v>89</v>
      </c>
      <c r="B92" s="310" t="s">
        <v>136</v>
      </c>
      <c r="C92" s="316" t="s">
        <v>1011</v>
      </c>
      <c r="D92" s="310" t="s">
        <v>136</v>
      </c>
      <c r="E92" s="312" t="s">
        <v>3</v>
      </c>
      <c r="F92" s="313">
        <v>12.5</v>
      </c>
    </row>
    <row r="93" spans="1:6" x14ac:dyDescent="0.25">
      <c r="A93" s="309">
        <v>90</v>
      </c>
      <c r="B93" s="310" t="s">
        <v>138</v>
      </c>
      <c r="C93" s="316" t="s">
        <v>137</v>
      </c>
      <c r="D93" s="310" t="s">
        <v>138</v>
      </c>
      <c r="E93" s="312" t="s">
        <v>3</v>
      </c>
      <c r="F93" s="313">
        <v>86.5</v>
      </c>
    </row>
    <row r="94" spans="1:6" x14ac:dyDescent="0.25">
      <c r="A94" s="309">
        <v>91</v>
      </c>
      <c r="B94" s="310" t="s">
        <v>139</v>
      </c>
      <c r="C94" s="316" t="s">
        <v>1027</v>
      </c>
      <c r="D94" s="310" t="s">
        <v>139</v>
      </c>
      <c r="E94" s="312" t="s">
        <v>3</v>
      </c>
      <c r="F94" s="313">
        <v>152</v>
      </c>
    </row>
    <row r="95" spans="1:6" x14ac:dyDescent="0.25">
      <c r="A95" s="309">
        <v>92</v>
      </c>
      <c r="B95" s="310" t="s">
        <v>141</v>
      </c>
      <c r="C95" s="316" t="s">
        <v>140</v>
      </c>
      <c r="D95" s="310" t="s">
        <v>141</v>
      </c>
      <c r="E95" s="312" t="s">
        <v>3</v>
      </c>
      <c r="F95" s="313">
        <v>45.5</v>
      </c>
    </row>
    <row r="96" spans="1:6" x14ac:dyDescent="0.25">
      <c r="A96" s="309">
        <v>93</v>
      </c>
      <c r="B96" s="310" t="s">
        <v>142</v>
      </c>
      <c r="C96" s="316" t="s">
        <v>1025</v>
      </c>
      <c r="D96" s="310" t="s">
        <v>142</v>
      </c>
      <c r="E96" s="312" t="s">
        <v>3</v>
      </c>
      <c r="F96" s="313">
        <v>205</v>
      </c>
    </row>
    <row r="97" spans="1:6" x14ac:dyDescent="0.25">
      <c r="A97" s="309">
        <v>94</v>
      </c>
      <c r="B97" s="310" t="s">
        <v>145</v>
      </c>
      <c r="C97" s="316" t="s">
        <v>1007</v>
      </c>
      <c r="D97" s="310" t="s">
        <v>145</v>
      </c>
      <c r="E97" s="312" t="s">
        <v>3</v>
      </c>
      <c r="F97" s="313">
        <v>15</v>
      </c>
    </row>
    <row r="98" spans="1:6" x14ac:dyDescent="0.25">
      <c r="A98" s="309">
        <v>95</v>
      </c>
      <c r="B98" s="310" t="s">
        <v>145</v>
      </c>
      <c r="C98" s="316" t="s">
        <v>1008</v>
      </c>
      <c r="D98" s="310" t="s">
        <v>145</v>
      </c>
      <c r="E98" s="312" t="s">
        <v>3</v>
      </c>
      <c r="F98" s="313">
        <v>15</v>
      </c>
    </row>
    <row r="99" spans="1:6" x14ac:dyDescent="0.25">
      <c r="A99" s="309">
        <v>96</v>
      </c>
      <c r="B99" s="310"/>
      <c r="C99" s="316" t="s">
        <v>1022</v>
      </c>
      <c r="D99" s="310"/>
      <c r="E99" s="312" t="s">
        <v>3</v>
      </c>
      <c r="F99" s="313">
        <v>614.5</v>
      </c>
    </row>
    <row r="100" spans="1:6" x14ac:dyDescent="0.25">
      <c r="A100" s="309">
        <v>97</v>
      </c>
      <c r="B100" s="310"/>
      <c r="C100" s="316" t="s">
        <v>1023</v>
      </c>
      <c r="D100" s="310"/>
      <c r="E100" s="312" t="s">
        <v>3</v>
      </c>
      <c r="F100" s="313">
        <v>516</v>
      </c>
    </row>
    <row r="101" spans="1:6" x14ac:dyDescent="0.25">
      <c r="A101" s="309">
        <v>98</v>
      </c>
      <c r="B101" s="310"/>
      <c r="C101" s="316" t="s">
        <v>1021</v>
      </c>
      <c r="D101" s="310"/>
      <c r="E101" s="312" t="s">
        <v>3</v>
      </c>
      <c r="F101" s="313">
        <v>644.79999999999995</v>
      </c>
    </row>
    <row r="102" spans="1:6" x14ac:dyDescent="0.25">
      <c r="A102" s="309">
        <v>99</v>
      </c>
      <c r="B102" s="310"/>
      <c r="C102" s="316" t="s">
        <v>1005</v>
      </c>
      <c r="D102" s="310"/>
      <c r="E102" s="312" t="s">
        <v>3</v>
      </c>
      <c r="F102" s="313">
        <v>7.5</v>
      </c>
    </row>
    <row r="103" spans="1:6" ht="25.5" x14ac:dyDescent="0.25">
      <c r="A103" s="309">
        <v>100</v>
      </c>
      <c r="B103" s="310" t="s">
        <v>1047</v>
      </c>
      <c r="C103" s="316" t="s">
        <v>1031</v>
      </c>
      <c r="D103" s="310" t="s">
        <v>1047</v>
      </c>
      <c r="E103" s="312" t="s">
        <v>3</v>
      </c>
      <c r="F103" s="313">
        <v>16.5</v>
      </c>
    </row>
    <row r="104" spans="1:6" x14ac:dyDescent="0.25">
      <c r="A104" s="309">
        <v>101</v>
      </c>
      <c r="B104" s="310" t="s">
        <v>148</v>
      </c>
      <c r="C104" s="316" t="s">
        <v>1010</v>
      </c>
      <c r="D104" s="310" t="s">
        <v>148</v>
      </c>
      <c r="E104" s="312" t="s">
        <v>3</v>
      </c>
      <c r="F104" s="313">
        <v>28.25</v>
      </c>
    </row>
    <row r="105" spans="1:6" x14ac:dyDescent="0.25">
      <c r="A105" s="309">
        <v>102</v>
      </c>
      <c r="B105" s="310"/>
      <c r="C105" s="316" t="s">
        <v>1036</v>
      </c>
      <c r="D105" s="310"/>
      <c r="E105" s="312" t="s">
        <v>3</v>
      </c>
      <c r="F105" s="313">
        <v>27.6</v>
      </c>
    </row>
    <row r="106" spans="1:6" x14ac:dyDescent="0.25">
      <c r="A106" s="309">
        <v>103</v>
      </c>
      <c r="B106" s="310" t="s">
        <v>149</v>
      </c>
      <c r="C106" s="316" t="s">
        <v>1024</v>
      </c>
      <c r="D106" s="310" t="s">
        <v>149</v>
      </c>
      <c r="E106" s="312" t="s">
        <v>3</v>
      </c>
      <c r="F106" s="313">
        <v>126</v>
      </c>
    </row>
    <row r="107" spans="1:6" x14ac:dyDescent="0.25">
      <c r="A107" s="309">
        <v>104</v>
      </c>
      <c r="B107" s="310"/>
      <c r="C107" s="316" t="s">
        <v>1026</v>
      </c>
      <c r="D107" s="310"/>
      <c r="E107" s="312" t="s">
        <v>3</v>
      </c>
      <c r="F107" s="313">
        <v>15</v>
      </c>
    </row>
    <row r="108" spans="1:6" x14ac:dyDescent="0.25">
      <c r="A108" s="309">
        <v>105</v>
      </c>
      <c r="B108" s="310"/>
      <c r="C108" s="316" t="s">
        <v>1033</v>
      </c>
      <c r="D108" s="310"/>
      <c r="E108" s="312" t="s">
        <v>3</v>
      </c>
      <c r="F108" s="313">
        <v>17.5</v>
      </c>
    </row>
    <row r="109" spans="1:6" x14ac:dyDescent="0.25">
      <c r="A109" s="309">
        <v>106</v>
      </c>
      <c r="B109" s="310"/>
      <c r="C109" s="316" t="s">
        <v>1029</v>
      </c>
      <c r="D109" s="310" t="s">
        <v>279</v>
      </c>
      <c r="E109" s="312" t="s">
        <v>3</v>
      </c>
      <c r="F109" s="313">
        <v>122.8</v>
      </c>
    </row>
    <row r="110" spans="1:6" x14ac:dyDescent="0.25">
      <c r="A110" s="309">
        <v>107</v>
      </c>
      <c r="B110" s="310" t="s">
        <v>1048</v>
      </c>
      <c r="C110" s="316" t="s">
        <v>761</v>
      </c>
      <c r="D110" s="310" t="s">
        <v>1048</v>
      </c>
      <c r="E110" s="312" t="s">
        <v>4</v>
      </c>
      <c r="F110" s="313">
        <v>20</v>
      </c>
    </row>
    <row r="111" spans="1:6" x14ac:dyDescent="0.25">
      <c r="A111" s="309">
        <v>108</v>
      </c>
      <c r="B111" s="310" t="s">
        <v>345</v>
      </c>
      <c r="C111" s="316" t="s">
        <v>476</v>
      </c>
      <c r="D111" s="310" t="s">
        <v>345</v>
      </c>
      <c r="E111" s="312" t="s">
        <v>75</v>
      </c>
      <c r="F111" s="313">
        <v>71.599999999999994</v>
      </c>
    </row>
    <row r="112" spans="1:6" x14ac:dyDescent="0.25">
      <c r="A112" s="309">
        <v>109</v>
      </c>
      <c r="B112" s="310"/>
      <c r="C112" s="316" t="s">
        <v>1032</v>
      </c>
      <c r="D112" s="310"/>
      <c r="E112" s="312" t="s">
        <v>75</v>
      </c>
      <c r="F112" s="313">
        <v>250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tabColor rgb="FF7030A0"/>
  </sheetPr>
  <dimension ref="A1:A109"/>
  <sheetViews>
    <sheetView topLeftCell="A121" workbookViewId="0">
      <selection activeCell="R6" sqref="R6"/>
    </sheetView>
  </sheetViews>
  <sheetFormatPr defaultColWidth="9.140625" defaultRowHeight="12.75" x14ac:dyDescent="0.25"/>
  <cols>
    <col min="1" max="1" width="79.85546875" style="295" customWidth="1"/>
    <col min="2" max="16384" width="9.140625" style="295"/>
  </cols>
  <sheetData>
    <row r="1" spans="1:1" x14ac:dyDescent="0.3">
      <c r="A1" s="294" t="s">
        <v>634</v>
      </c>
    </row>
    <row r="2" spans="1:1" x14ac:dyDescent="0.25">
      <c r="A2" s="19" t="s">
        <v>1000</v>
      </c>
    </row>
    <row r="3" spans="1:1" x14ac:dyDescent="0.25">
      <c r="A3" s="19" t="s">
        <v>1001</v>
      </c>
    </row>
    <row r="4" spans="1:1" x14ac:dyDescent="0.25">
      <c r="A4" s="19" t="s">
        <v>1002</v>
      </c>
    </row>
    <row r="5" spans="1:1" x14ac:dyDescent="0.3">
      <c r="A5" s="296" t="s">
        <v>673</v>
      </c>
    </row>
    <row r="6" spans="1:1" x14ac:dyDescent="0.3">
      <c r="A6" s="294" t="s">
        <v>606</v>
      </c>
    </row>
    <row r="7" spans="1:1" x14ac:dyDescent="0.3">
      <c r="A7" s="294" t="s">
        <v>622</v>
      </c>
    </row>
    <row r="8" spans="1:1" x14ac:dyDescent="0.3">
      <c r="A8" s="297" t="s">
        <v>664</v>
      </c>
    </row>
    <row r="9" spans="1:1" x14ac:dyDescent="0.3">
      <c r="A9" s="294" t="s">
        <v>628</v>
      </c>
    </row>
    <row r="10" spans="1:1" x14ac:dyDescent="0.3">
      <c r="A10" s="294" t="s">
        <v>616</v>
      </c>
    </row>
    <row r="11" spans="1:1" x14ac:dyDescent="0.25">
      <c r="A11" s="298" t="s">
        <v>691</v>
      </c>
    </row>
    <row r="12" spans="1:1" x14ac:dyDescent="0.3">
      <c r="A12" s="294" t="s">
        <v>612</v>
      </c>
    </row>
    <row r="13" spans="1:1" x14ac:dyDescent="0.3">
      <c r="A13" s="294" t="s">
        <v>644</v>
      </c>
    </row>
    <row r="14" spans="1:1" x14ac:dyDescent="0.3">
      <c r="A14" s="294" t="s">
        <v>677</v>
      </c>
    </row>
    <row r="15" spans="1:1" x14ac:dyDescent="0.3">
      <c r="A15" s="296" t="s">
        <v>671</v>
      </c>
    </row>
    <row r="16" spans="1:1" x14ac:dyDescent="0.25">
      <c r="A16" s="298" t="s">
        <v>507</v>
      </c>
    </row>
    <row r="17" spans="1:1" x14ac:dyDescent="0.3">
      <c r="A17" s="294" t="s">
        <v>604</v>
      </c>
    </row>
    <row r="18" spans="1:1" x14ac:dyDescent="0.25">
      <c r="A18" s="298" t="s">
        <v>509</v>
      </c>
    </row>
    <row r="19" spans="1:1" x14ac:dyDescent="0.3">
      <c r="A19" s="294" t="s">
        <v>620</v>
      </c>
    </row>
    <row r="20" spans="1:1" x14ac:dyDescent="0.3">
      <c r="A20" s="297" t="s">
        <v>662</v>
      </c>
    </row>
    <row r="21" spans="1:1" x14ac:dyDescent="0.25">
      <c r="A21" s="298" t="s">
        <v>510</v>
      </c>
    </row>
    <row r="22" spans="1:1" x14ac:dyDescent="0.3">
      <c r="A22" s="294" t="s">
        <v>626</v>
      </c>
    </row>
    <row r="23" spans="1:1" x14ac:dyDescent="0.25">
      <c r="A23" s="298" t="s">
        <v>508</v>
      </c>
    </row>
    <row r="24" spans="1:1" x14ac:dyDescent="0.3">
      <c r="A24" s="294" t="s">
        <v>614</v>
      </c>
    </row>
    <row r="25" spans="1:1" x14ac:dyDescent="0.3">
      <c r="A25" s="294" t="s">
        <v>679</v>
      </c>
    </row>
    <row r="26" spans="1:1" x14ac:dyDescent="0.3">
      <c r="A26" s="294" t="s">
        <v>610</v>
      </c>
    </row>
    <row r="27" spans="1:1" x14ac:dyDescent="0.3">
      <c r="A27" s="294" t="s">
        <v>506</v>
      </c>
    </row>
    <row r="28" spans="1:1" x14ac:dyDescent="0.25">
      <c r="A28" s="19" t="s">
        <v>1003</v>
      </c>
    </row>
    <row r="29" spans="1:1" x14ac:dyDescent="0.25">
      <c r="A29" s="298" t="s">
        <v>689</v>
      </c>
    </row>
    <row r="30" spans="1:1" x14ac:dyDescent="0.25">
      <c r="A30" s="298" t="s">
        <v>695</v>
      </c>
    </row>
    <row r="31" spans="1:1" x14ac:dyDescent="0.3">
      <c r="A31" s="294" t="s">
        <v>642</v>
      </c>
    </row>
    <row r="32" spans="1:1" x14ac:dyDescent="0.25">
      <c r="A32" s="19" t="s">
        <v>476</v>
      </c>
    </row>
    <row r="33" spans="1:1" x14ac:dyDescent="0.25">
      <c r="A33" s="19" t="s">
        <v>1004</v>
      </c>
    </row>
    <row r="34" spans="1:1" x14ac:dyDescent="0.3">
      <c r="A34" s="294" t="s">
        <v>636</v>
      </c>
    </row>
    <row r="35" spans="1:1" x14ac:dyDescent="0.3">
      <c r="A35" s="294" t="s">
        <v>608</v>
      </c>
    </row>
    <row r="36" spans="1:1" x14ac:dyDescent="0.3">
      <c r="A36" s="294" t="s">
        <v>624</v>
      </c>
    </row>
    <row r="37" spans="1:1" x14ac:dyDescent="0.25">
      <c r="A37" s="298" t="s">
        <v>693</v>
      </c>
    </row>
    <row r="38" spans="1:1" x14ac:dyDescent="0.3">
      <c r="A38" s="297" t="s">
        <v>666</v>
      </c>
    </row>
    <row r="39" spans="1:1" x14ac:dyDescent="0.3">
      <c r="A39" s="294" t="s">
        <v>630</v>
      </c>
    </row>
    <row r="40" spans="1:1" x14ac:dyDescent="0.3">
      <c r="A40" s="294" t="s">
        <v>618</v>
      </c>
    </row>
    <row r="41" spans="1:1" x14ac:dyDescent="0.25">
      <c r="A41" s="19" t="s">
        <v>1005</v>
      </c>
    </row>
    <row r="42" spans="1:1" x14ac:dyDescent="0.3">
      <c r="A42" s="294" t="s">
        <v>640</v>
      </c>
    </row>
    <row r="43" spans="1:1" x14ac:dyDescent="0.25">
      <c r="A43" s="19" t="s">
        <v>1006</v>
      </c>
    </row>
    <row r="44" spans="1:1" x14ac:dyDescent="0.25">
      <c r="A44" s="19" t="s">
        <v>1007</v>
      </c>
    </row>
    <row r="45" spans="1:1" x14ac:dyDescent="0.25">
      <c r="A45" s="19" t="s">
        <v>1008</v>
      </c>
    </row>
    <row r="46" spans="1:1" x14ac:dyDescent="0.25">
      <c r="A46" s="19" t="s">
        <v>1009</v>
      </c>
    </row>
    <row r="47" spans="1:1" x14ac:dyDescent="0.25">
      <c r="A47" s="19" t="s">
        <v>1010</v>
      </c>
    </row>
    <row r="48" spans="1:1" x14ac:dyDescent="0.25">
      <c r="A48" s="19" t="s">
        <v>1011</v>
      </c>
    </row>
    <row r="49" spans="1:1" x14ac:dyDescent="0.25">
      <c r="A49" s="19" t="s">
        <v>1012</v>
      </c>
    </row>
    <row r="50" spans="1:1" x14ac:dyDescent="0.3">
      <c r="A50" s="294" t="s">
        <v>638</v>
      </c>
    </row>
    <row r="51" spans="1:1" x14ac:dyDescent="0.3">
      <c r="A51" s="294" t="s">
        <v>1013</v>
      </c>
    </row>
    <row r="52" spans="1:1" x14ac:dyDescent="0.25">
      <c r="A52" s="19" t="s">
        <v>1014</v>
      </c>
    </row>
    <row r="53" spans="1:1" x14ac:dyDescent="0.25">
      <c r="A53" s="19" t="s">
        <v>1015</v>
      </c>
    </row>
    <row r="54" spans="1:1" x14ac:dyDescent="0.25">
      <c r="A54" s="19" t="s">
        <v>1016</v>
      </c>
    </row>
    <row r="55" spans="1:1" x14ac:dyDescent="0.25">
      <c r="A55" s="19" t="s">
        <v>1017</v>
      </c>
    </row>
    <row r="56" spans="1:1" x14ac:dyDescent="0.25">
      <c r="A56" s="19" t="s">
        <v>121</v>
      </c>
    </row>
    <row r="57" spans="1:1" x14ac:dyDescent="0.3">
      <c r="A57" s="297" t="s">
        <v>655</v>
      </c>
    </row>
    <row r="58" spans="1:1" x14ac:dyDescent="0.3">
      <c r="A58" s="297" t="s">
        <v>652</v>
      </c>
    </row>
    <row r="59" spans="1:1" x14ac:dyDescent="0.3">
      <c r="A59" s="296" t="s">
        <v>675</v>
      </c>
    </row>
    <row r="60" spans="1:1" x14ac:dyDescent="0.25">
      <c r="A60" s="19" t="s">
        <v>1018</v>
      </c>
    </row>
    <row r="61" spans="1:1" x14ac:dyDescent="0.25">
      <c r="A61" s="19" t="s">
        <v>95</v>
      </c>
    </row>
    <row r="62" spans="1:1" x14ac:dyDescent="0.25">
      <c r="A62" s="19" t="s">
        <v>126</v>
      </c>
    </row>
    <row r="63" spans="1:1" x14ac:dyDescent="0.25">
      <c r="A63" s="19" t="s">
        <v>1019</v>
      </c>
    </row>
    <row r="64" spans="1:1" x14ac:dyDescent="0.25">
      <c r="A64" s="19" t="s">
        <v>1020</v>
      </c>
    </row>
    <row r="65" spans="1:1" x14ac:dyDescent="0.3">
      <c r="A65" s="295" t="s">
        <v>699</v>
      </c>
    </row>
    <row r="66" spans="1:1" x14ac:dyDescent="0.25">
      <c r="A66" s="19" t="s">
        <v>140</v>
      </c>
    </row>
    <row r="67" spans="1:1" x14ac:dyDescent="0.25">
      <c r="A67" s="19" t="s">
        <v>1021</v>
      </c>
    </row>
    <row r="68" spans="1:1" x14ac:dyDescent="0.25">
      <c r="A68" s="19" t="s">
        <v>1022</v>
      </c>
    </row>
    <row r="69" spans="1:1" x14ac:dyDescent="0.25">
      <c r="A69" s="19" t="s">
        <v>1023</v>
      </c>
    </row>
    <row r="70" spans="1:1" x14ac:dyDescent="0.25">
      <c r="A70" s="19" t="s">
        <v>137</v>
      </c>
    </row>
    <row r="71" spans="1:1" x14ac:dyDescent="0.3">
      <c r="A71" s="294" t="s">
        <v>632</v>
      </c>
    </row>
    <row r="72" spans="1:1" x14ac:dyDescent="0.25">
      <c r="A72" s="19" t="s">
        <v>1024</v>
      </c>
    </row>
    <row r="73" spans="1:1" x14ac:dyDescent="0.25">
      <c r="A73" s="19" t="s">
        <v>134</v>
      </c>
    </row>
    <row r="74" spans="1:1" x14ac:dyDescent="0.25">
      <c r="A74" s="19" t="s">
        <v>1025</v>
      </c>
    </row>
    <row r="75" spans="1:1" x14ac:dyDescent="0.25">
      <c r="A75" s="19" t="s">
        <v>132</v>
      </c>
    </row>
    <row r="76" spans="1:1" x14ac:dyDescent="0.3">
      <c r="A76" s="299" t="s">
        <v>697</v>
      </c>
    </row>
    <row r="77" spans="1:1" x14ac:dyDescent="0.25">
      <c r="A77" s="19" t="s">
        <v>1026</v>
      </c>
    </row>
    <row r="78" spans="1:1" x14ac:dyDescent="0.25">
      <c r="A78" s="19" t="s">
        <v>1027</v>
      </c>
    </row>
    <row r="79" spans="1:1" x14ac:dyDescent="0.25">
      <c r="A79" s="19" t="s">
        <v>1028</v>
      </c>
    </row>
    <row r="80" spans="1:1" x14ac:dyDescent="0.25">
      <c r="A80" s="19" t="s">
        <v>1029</v>
      </c>
    </row>
    <row r="81" spans="1:1" x14ac:dyDescent="0.3">
      <c r="A81" s="297" t="s">
        <v>648</v>
      </c>
    </row>
    <row r="82" spans="1:1" x14ac:dyDescent="0.3">
      <c r="A82" s="297" t="s">
        <v>650</v>
      </c>
    </row>
    <row r="83" spans="1:1" x14ac:dyDescent="0.25">
      <c r="A83" s="19" t="s">
        <v>1030</v>
      </c>
    </row>
    <row r="84" spans="1:1" x14ac:dyDescent="0.25">
      <c r="A84" s="19" t="s">
        <v>1031</v>
      </c>
    </row>
    <row r="85" spans="1:1" x14ac:dyDescent="0.25">
      <c r="A85" s="19" t="s">
        <v>1032</v>
      </c>
    </row>
    <row r="86" spans="1:1" x14ac:dyDescent="0.25">
      <c r="A86" s="19" t="s">
        <v>761</v>
      </c>
    </row>
    <row r="87" spans="1:1" x14ac:dyDescent="0.3">
      <c r="A87" s="294" t="s">
        <v>598</v>
      </c>
    </row>
    <row r="88" spans="1:1" x14ac:dyDescent="0.3">
      <c r="A88" s="300" t="s">
        <v>685</v>
      </c>
    </row>
    <row r="89" spans="1:1" x14ac:dyDescent="0.3">
      <c r="A89" s="296" t="s">
        <v>657</v>
      </c>
    </row>
    <row r="90" spans="1:1" x14ac:dyDescent="0.3">
      <c r="A90" s="296" t="s">
        <v>511</v>
      </c>
    </row>
    <row r="91" spans="1:1" x14ac:dyDescent="0.25">
      <c r="A91" s="19" t="s">
        <v>1033</v>
      </c>
    </row>
    <row r="92" spans="1:1" x14ac:dyDescent="0.3">
      <c r="A92" s="295" t="s">
        <v>1034</v>
      </c>
    </row>
    <row r="93" spans="1:1" x14ac:dyDescent="0.25">
      <c r="A93" s="19" t="s">
        <v>118</v>
      </c>
    </row>
    <row r="94" spans="1:1" x14ac:dyDescent="0.25">
      <c r="A94" s="19" t="s">
        <v>1035</v>
      </c>
    </row>
    <row r="95" spans="1:1" x14ac:dyDescent="0.3">
      <c r="A95" s="297" t="s">
        <v>668</v>
      </c>
    </row>
    <row r="96" spans="1:1" x14ac:dyDescent="0.25">
      <c r="A96" s="19" t="s">
        <v>1036</v>
      </c>
    </row>
    <row r="97" spans="1:1" x14ac:dyDescent="0.25">
      <c r="A97" s="19" t="s">
        <v>1037</v>
      </c>
    </row>
    <row r="98" spans="1:1" x14ac:dyDescent="0.25">
      <c r="A98" s="19" t="s">
        <v>1038</v>
      </c>
    </row>
    <row r="99" spans="1:1" x14ac:dyDescent="0.3">
      <c r="A99" s="297" t="s">
        <v>646</v>
      </c>
    </row>
    <row r="100" spans="1:1" x14ac:dyDescent="0.25">
      <c r="A100" s="19" t="s">
        <v>1039</v>
      </c>
    </row>
    <row r="101" spans="1:1" x14ac:dyDescent="0.3">
      <c r="A101" s="297" t="s">
        <v>1040</v>
      </c>
    </row>
    <row r="102" spans="1:1" x14ac:dyDescent="0.3">
      <c r="A102" s="297" t="s">
        <v>119</v>
      </c>
    </row>
    <row r="103" spans="1:1" x14ac:dyDescent="0.25">
      <c r="A103" s="19" t="s">
        <v>1041</v>
      </c>
    </row>
    <row r="104" spans="1:1" x14ac:dyDescent="0.3">
      <c r="A104" s="294" t="s">
        <v>601</v>
      </c>
    </row>
    <row r="105" spans="1:1" x14ac:dyDescent="0.25">
      <c r="A105" s="298" t="s">
        <v>687</v>
      </c>
    </row>
    <row r="106" spans="1:1" x14ac:dyDescent="0.3">
      <c r="A106" s="294" t="s">
        <v>505</v>
      </c>
    </row>
    <row r="107" spans="1:1" x14ac:dyDescent="0.25">
      <c r="A107" s="19" t="s">
        <v>128</v>
      </c>
    </row>
    <row r="108" spans="1:1" x14ac:dyDescent="0.25">
      <c r="A108" s="19" t="s">
        <v>131</v>
      </c>
    </row>
    <row r="109" spans="1:1" x14ac:dyDescent="0.25">
      <c r="A109" s="19" t="s">
        <v>1042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  <pageSetUpPr fitToPage="1"/>
  </sheetPr>
  <dimension ref="A1:P59"/>
  <sheetViews>
    <sheetView view="pageBreakPreview" zoomScale="90" zoomScaleNormal="80" zoomScaleSheetLayoutView="90" workbookViewId="0">
      <selection activeCell="G25" sqref="G25"/>
    </sheetView>
  </sheetViews>
  <sheetFormatPr defaultColWidth="9.140625" defaultRowHeight="15" x14ac:dyDescent="0.25"/>
  <cols>
    <col min="1" max="2" width="6.140625" style="472" customWidth="1"/>
    <col min="3" max="3" width="9.140625" style="472"/>
    <col min="4" max="4" width="10.85546875" style="472" bestFit="1" customWidth="1"/>
    <col min="5" max="5" width="40.140625" style="472" customWidth="1"/>
    <col min="6" max="6" width="16.7109375" style="472" customWidth="1"/>
    <col min="7" max="7" width="15.140625" style="472" customWidth="1"/>
    <col min="8" max="8" width="12.85546875" style="472" customWidth="1"/>
    <col min="9" max="9" width="13.85546875" style="472" customWidth="1"/>
    <col min="10" max="10" width="9.140625" style="472"/>
    <col min="11" max="11" width="15" style="472" bestFit="1" customWidth="1"/>
    <col min="12" max="12" width="9.140625" style="472"/>
    <col min="13" max="13" width="14.7109375" style="472" bestFit="1" customWidth="1"/>
    <col min="14" max="16384" width="9.140625" style="472"/>
  </cols>
  <sheetData>
    <row r="1" spans="1:11" x14ac:dyDescent="0.25">
      <c r="A1" s="1410" t="s">
        <v>1876</v>
      </c>
      <c r="B1" s="1410"/>
      <c r="C1" s="1410"/>
      <c r="D1" s="1410"/>
      <c r="E1" s="1410"/>
      <c r="F1" s="1410"/>
      <c r="G1" s="1410"/>
      <c r="H1" s="1410"/>
      <c r="I1" s="1410"/>
    </row>
    <row r="2" spans="1:11" ht="21" customHeight="1" x14ac:dyDescent="0.25">
      <c r="A2" s="1410"/>
      <c r="B2" s="1410"/>
      <c r="C2" s="1410"/>
      <c r="D2" s="1410"/>
      <c r="E2" s="1410"/>
      <c r="F2" s="1410"/>
      <c r="G2" s="1410"/>
      <c r="H2" s="1410"/>
      <c r="I2" s="1410"/>
    </row>
    <row r="3" spans="1:11" ht="21" customHeight="1" x14ac:dyDescent="0.3">
      <c r="A3" s="1408" t="s">
        <v>1881</v>
      </c>
      <c r="B3" s="1409"/>
      <c r="C3" s="1409"/>
      <c r="D3" s="1409"/>
      <c r="E3" s="1409"/>
      <c r="F3" s="1409"/>
      <c r="G3" s="1409"/>
      <c r="H3" s="1409"/>
      <c r="I3" s="1409"/>
    </row>
    <row r="4" spans="1:11" ht="14.45" x14ac:dyDescent="0.3">
      <c r="A4" s="938"/>
      <c r="B4" s="995" t="s">
        <v>1361</v>
      </c>
      <c r="C4" s="996"/>
      <c r="D4" s="996"/>
      <c r="E4" s="938"/>
      <c r="F4" s="938"/>
      <c r="G4" s="938"/>
      <c r="H4" s="938"/>
      <c r="I4" s="938"/>
    </row>
    <row r="5" spans="1:11" thickBot="1" x14ac:dyDescent="0.35">
      <c r="A5" s="948"/>
      <c r="B5" s="948"/>
      <c r="C5" s="948"/>
      <c r="D5" s="948"/>
      <c r="E5" s="949"/>
      <c r="F5" s="950"/>
      <c r="G5" s="939"/>
      <c r="H5" s="939"/>
      <c r="I5" s="939"/>
    </row>
    <row r="6" spans="1:11" ht="13.5" customHeight="1" x14ac:dyDescent="0.25">
      <c r="A6" s="1386" t="s">
        <v>1362</v>
      </c>
      <c r="B6" s="1389" t="s">
        <v>12</v>
      </c>
      <c r="C6" s="1389"/>
      <c r="D6" s="1389"/>
      <c r="E6" s="1390"/>
      <c r="F6" s="1380" t="s">
        <v>1820</v>
      </c>
      <c r="G6" s="1395" t="s">
        <v>15</v>
      </c>
      <c r="H6" s="1395"/>
      <c r="I6" s="1396"/>
    </row>
    <row r="7" spans="1:11" ht="30" customHeight="1" x14ac:dyDescent="0.25">
      <c r="A7" s="1387"/>
      <c r="B7" s="1391"/>
      <c r="C7" s="1391"/>
      <c r="D7" s="1391"/>
      <c r="E7" s="1392"/>
      <c r="F7" s="1381"/>
      <c r="G7" s="973" t="s">
        <v>1363</v>
      </c>
      <c r="H7" s="960" t="s">
        <v>17</v>
      </c>
      <c r="I7" s="975" t="s">
        <v>18</v>
      </c>
    </row>
    <row r="8" spans="1:11" x14ac:dyDescent="0.25">
      <c r="A8" s="1388"/>
      <c r="B8" s="1393"/>
      <c r="C8" s="1393"/>
      <c r="D8" s="1393"/>
      <c r="E8" s="1394"/>
      <c r="F8" s="1382"/>
      <c r="G8" s="974" t="s">
        <v>1274</v>
      </c>
      <c r="H8" s="961" t="s">
        <v>1274</v>
      </c>
      <c r="I8" s="976" t="s">
        <v>1274</v>
      </c>
    </row>
    <row r="9" spans="1:11" s="528" customFormat="1" ht="14.45" x14ac:dyDescent="0.3">
      <c r="A9" s="1079" t="s">
        <v>1364</v>
      </c>
      <c r="B9" s="1383" t="s">
        <v>1324</v>
      </c>
      <c r="C9" s="1384"/>
      <c r="D9" s="1384"/>
      <c r="E9" s="1385"/>
      <c r="F9" s="1084"/>
      <c r="G9" s="1081">
        <f t="shared" ref="G9:I9" si="0">SUM(G10:G12)</f>
        <v>0</v>
      </c>
      <c r="H9" s="1081">
        <f t="shared" si="0"/>
        <v>0</v>
      </c>
      <c r="I9" s="1082">
        <f t="shared" si="0"/>
        <v>0</v>
      </c>
    </row>
    <row r="10" spans="1:11" ht="14.45" x14ac:dyDescent="0.3">
      <c r="A10" s="977"/>
      <c r="B10" s="941" t="s">
        <v>1365</v>
      </c>
      <c r="C10" s="1401" t="s">
        <v>1366</v>
      </c>
      <c r="D10" s="1402"/>
      <c r="E10" s="1403"/>
      <c r="F10" s="940"/>
      <c r="G10" s="942">
        <v>0</v>
      </c>
      <c r="H10" s="942">
        <f>G10*$D$36</f>
        <v>0</v>
      </c>
      <c r="I10" s="978">
        <f>G10+H10</f>
        <v>0</v>
      </c>
    </row>
    <row r="11" spans="1:11" ht="14.45" x14ac:dyDescent="0.3">
      <c r="A11" s="977"/>
      <c r="B11" s="941" t="s">
        <v>1367</v>
      </c>
      <c r="C11" s="1401" t="s">
        <v>1368</v>
      </c>
      <c r="D11" s="1402"/>
      <c r="E11" s="1403"/>
      <c r="F11" s="940"/>
      <c r="G11" s="942">
        <v>0</v>
      </c>
      <c r="H11" s="942">
        <f>G11*$D$36</f>
        <v>0</v>
      </c>
      <c r="I11" s="978">
        <f t="shared" ref="I11:I31" si="1">G11+H11</f>
        <v>0</v>
      </c>
    </row>
    <row r="12" spans="1:11" ht="14.45" x14ac:dyDescent="0.3">
      <c r="A12" s="977"/>
      <c r="B12" s="941" t="s">
        <v>1369</v>
      </c>
      <c r="C12" s="1401" t="s">
        <v>1370</v>
      </c>
      <c r="D12" s="1402"/>
      <c r="E12" s="1403"/>
      <c r="F12" s="940"/>
      <c r="G12" s="942">
        <v>0</v>
      </c>
      <c r="H12" s="942">
        <f>G12*$D$36</f>
        <v>0</v>
      </c>
      <c r="I12" s="978">
        <f t="shared" si="1"/>
        <v>0</v>
      </c>
    </row>
    <row r="13" spans="1:11" s="528" customFormat="1" ht="26.25" customHeight="1" x14ac:dyDescent="0.3">
      <c r="A13" s="1079" t="s">
        <v>1371</v>
      </c>
      <c r="B13" s="1383" t="s">
        <v>1372</v>
      </c>
      <c r="C13" s="1384"/>
      <c r="D13" s="1384"/>
      <c r="E13" s="1385"/>
      <c r="F13" s="1080"/>
      <c r="G13" s="1081">
        <v>3000</v>
      </c>
      <c r="H13" s="1081">
        <f>G13*$D$36</f>
        <v>570</v>
      </c>
      <c r="I13" s="1082">
        <f t="shared" si="1"/>
        <v>3570</v>
      </c>
    </row>
    <row r="14" spans="1:11" s="528" customFormat="1" ht="14.45" x14ac:dyDescent="0.3">
      <c r="A14" s="1079" t="s">
        <v>1373</v>
      </c>
      <c r="B14" s="1383" t="s">
        <v>1374</v>
      </c>
      <c r="C14" s="1384"/>
      <c r="D14" s="1384"/>
      <c r="E14" s="1385"/>
      <c r="F14" s="1083"/>
      <c r="G14" s="1081">
        <v>12000</v>
      </c>
      <c r="H14" s="1081">
        <v>0</v>
      </c>
      <c r="I14" s="1082">
        <f t="shared" si="1"/>
        <v>12000</v>
      </c>
    </row>
    <row r="15" spans="1:11" s="528" customFormat="1" ht="25.5" customHeight="1" x14ac:dyDescent="0.25">
      <c r="A15" s="1079" t="s">
        <v>1375</v>
      </c>
      <c r="B15" s="1383" t="s">
        <v>1821</v>
      </c>
      <c r="C15" s="1384"/>
      <c r="D15" s="1384"/>
      <c r="E15" s="1385"/>
      <c r="F15" s="1080"/>
      <c r="G15" s="1081">
        <v>5000</v>
      </c>
      <c r="H15" s="1081">
        <f>G15*$D$36</f>
        <v>950</v>
      </c>
      <c r="I15" s="1082">
        <f t="shared" si="1"/>
        <v>5950</v>
      </c>
    </row>
    <row r="16" spans="1:11" s="528" customFormat="1" ht="27" customHeight="1" x14ac:dyDescent="0.3">
      <c r="A16" s="1085" t="s">
        <v>1376</v>
      </c>
      <c r="B16" s="1404" t="s">
        <v>1334</v>
      </c>
      <c r="C16" s="1404"/>
      <c r="D16" s="1404"/>
      <c r="E16" s="1404"/>
      <c r="F16" s="1086"/>
      <c r="G16" s="1081">
        <f>SUM(G17:G22)</f>
        <v>213000</v>
      </c>
      <c r="H16" s="1081">
        <f>SUM(H17:H22)</f>
        <v>40470</v>
      </c>
      <c r="I16" s="1082">
        <f>SUM(I17:I22)</f>
        <v>253470</v>
      </c>
      <c r="K16" s="529"/>
    </row>
    <row r="17" spans="1:11" ht="14.45" x14ac:dyDescent="0.3">
      <c r="A17" s="979"/>
      <c r="B17" s="943" t="s">
        <v>1377</v>
      </c>
      <c r="C17" s="1397" t="s">
        <v>1378</v>
      </c>
      <c r="D17" s="1397"/>
      <c r="E17" s="1397"/>
      <c r="F17" s="944"/>
      <c r="G17" s="942">
        <v>0</v>
      </c>
      <c r="H17" s="942">
        <f t="shared" ref="H17:H23" si="2">G17*$D$36</f>
        <v>0</v>
      </c>
      <c r="I17" s="978">
        <f t="shared" si="1"/>
        <v>0</v>
      </c>
    </row>
    <row r="18" spans="1:11" ht="40.5" customHeight="1" x14ac:dyDescent="0.3">
      <c r="A18" s="979"/>
      <c r="B18" s="943" t="s">
        <v>1379</v>
      </c>
      <c r="C18" s="1405" t="s">
        <v>1838</v>
      </c>
      <c r="D18" s="1406"/>
      <c r="E18" s="1407"/>
      <c r="F18" s="945"/>
      <c r="G18" s="942">
        <v>0</v>
      </c>
      <c r="H18" s="942">
        <f t="shared" si="2"/>
        <v>0</v>
      </c>
      <c r="I18" s="978">
        <f t="shared" si="1"/>
        <v>0</v>
      </c>
    </row>
    <row r="19" spans="1:11" ht="14.45" x14ac:dyDescent="0.3">
      <c r="A19" s="979"/>
      <c r="B19" s="943" t="s">
        <v>1380</v>
      </c>
      <c r="C19" s="1397" t="s">
        <v>1880</v>
      </c>
      <c r="D19" s="1397"/>
      <c r="E19" s="1397"/>
      <c r="F19" s="945"/>
      <c r="G19" s="942">
        <v>30000</v>
      </c>
      <c r="H19" s="942">
        <f t="shared" si="2"/>
        <v>5700</v>
      </c>
      <c r="I19" s="978">
        <f t="shared" si="1"/>
        <v>35700</v>
      </c>
    </row>
    <row r="20" spans="1:11" ht="28.5" customHeight="1" x14ac:dyDescent="0.3">
      <c r="A20" s="979"/>
      <c r="B20" s="943" t="s">
        <v>1381</v>
      </c>
      <c r="C20" s="1397" t="s">
        <v>1382</v>
      </c>
      <c r="D20" s="1397"/>
      <c r="E20" s="1397"/>
      <c r="F20" s="945"/>
      <c r="G20" s="942">
        <v>3000</v>
      </c>
      <c r="H20" s="942">
        <f t="shared" si="2"/>
        <v>570</v>
      </c>
      <c r="I20" s="978">
        <f t="shared" si="1"/>
        <v>3570</v>
      </c>
    </row>
    <row r="21" spans="1:11" ht="12.75" customHeight="1" x14ac:dyDescent="0.25">
      <c r="A21" s="979"/>
      <c r="B21" s="943" t="s">
        <v>1339</v>
      </c>
      <c r="C21" s="1397" t="s">
        <v>1839</v>
      </c>
      <c r="D21" s="1397"/>
      <c r="E21" s="1397"/>
      <c r="F21" s="946"/>
      <c r="G21" s="942">
        <v>10000</v>
      </c>
      <c r="H21" s="942">
        <f t="shared" si="2"/>
        <v>1900</v>
      </c>
      <c r="I21" s="978">
        <f t="shared" si="1"/>
        <v>11900</v>
      </c>
    </row>
    <row r="22" spans="1:11" ht="14.45" x14ac:dyDescent="0.3">
      <c r="A22" s="979"/>
      <c r="B22" s="943" t="s">
        <v>1340</v>
      </c>
      <c r="C22" s="1397" t="s">
        <v>1840</v>
      </c>
      <c r="D22" s="1397"/>
      <c r="E22" s="1397"/>
      <c r="F22" s="1002"/>
      <c r="G22" s="942">
        <v>170000</v>
      </c>
      <c r="H22" s="942">
        <f t="shared" si="2"/>
        <v>32300</v>
      </c>
      <c r="I22" s="978">
        <f t="shared" si="1"/>
        <v>202300</v>
      </c>
    </row>
    <row r="23" spans="1:11" s="528" customFormat="1" ht="26.1" customHeight="1" x14ac:dyDescent="0.3">
      <c r="A23" s="1087" t="s">
        <v>1383</v>
      </c>
      <c r="B23" s="1398" t="s">
        <v>1384</v>
      </c>
      <c r="C23" s="1399"/>
      <c r="D23" s="1399"/>
      <c r="E23" s="1400"/>
      <c r="F23" s="1083" t="s">
        <v>1809</v>
      </c>
      <c r="G23" s="1081">
        <v>0</v>
      </c>
      <c r="H23" s="1081">
        <f t="shared" si="2"/>
        <v>0</v>
      </c>
      <c r="I23" s="1082">
        <f t="shared" si="1"/>
        <v>0</v>
      </c>
    </row>
    <row r="24" spans="1:11" s="528" customFormat="1" x14ac:dyDescent="0.25">
      <c r="A24" s="1087" t="s">
        <v>1385</v>
      </c>
      <c r="B24" s="1398" t="s">
        <v>1386</v>
      </c>
      <c r="C24" s="1399"/>
      <c r="D24" s="1399"/>
      <c r="E24" s="1400"/>
      <c r="F24" s="1080"/>
      <c r="G24" s="1081">
        <f>G25+G26</f>
        <v>0</v>
      </c>
      <c r="H24" s="1081">
        <f>H25+H26</f>
        <v>0</v>
      </c>
      <c r="I24" s="1082">
        <f>I25+I26</f>
        <v>0</v>
      </c>
      <c r="K24" s="994"/>
    </row>
    <row r="25" spans="1:11" ht="29.25" customHeight="1" x14ac:dyDescent="0.25">
      <c r="A25" s="979"/>
      <c r="B25" s="947" t="s">
        <v>1387</v>
      </c>
      <c r="C25" s="1425" t="s">
        <v>1388</v>
      </c>
      <c r="D25" s="1425"/>
      <c r="E25" s="1425"/>
      <c r="F25" s="940"/>
      <c r="G25" s="942">
        <v>0</v>
      </c>
      <c r="H25" s="942">
        <f t="shared" ref="H25:H31" si="3">G25*$D$36</f>
        <v>0</v>
      </c>
      <c r="I25" s="978">
        <f t="shared" si="1"/>
        <v>0</v>
      </c>
    </row>
    <row r="26" spans="1:11" x14ac:dyDescent="0.25">
      <c r="A26" s="979"/>
      <c r="B26" s="947" t="s">
        <v>1389</v>
      </c>
      <c r="C26" s="1423" t="s">
        <v>1390</v>
      </c>
      <c r="D26" s="1423"/>
      <c r="E26" s="1423"/>
      <c r="F26" s="941"/>
      <c r="G26" s="942">
        <v>0</v>
      </c>
      <c r="H26" s="942">
        <f t="shared" si="3"/>
        <v>0</v>
      </c>
      <c r="I26" s="978">
        <f t="shared" si="1"/>
        <v>0</v>
      </c>
    </row>
    <row r="27" spans="1:11" s="528" customFormat="1" ht="29.25" customHeight="1" x14ac:dyDescent="0.25">
      <c r="A27" s="1087" t="s">
        <v>1391</v>
      </c>
      <c r="B27" s="1424" t="s">
        <v>1392</v>
      </c>
      <c r="C27" s="1424"/>
      <c r="D27" s="1424"/>
      <c r="E27" s="1424"/>
      <c r="F27" s="1080" t="s">
        <v>1885</v>
      </c>
      <c r="G27" s="1081">
        <f>G28+G31</f>
        <v>42630.47</v>
      </c>
      <c r="H27" s="1081">
        <f t="shared" si="3"/>
        <v>8099.7893000000004</v>
      </c>
      <c r="I27" s="1082">
        <f t="shared" si="1"/>
        <v>50730.259300000005</v>
      </c>
    </row>
    <row r="28" spans="1:11" x14ac:dyDescent="0.25">
      <c r="A28" s="979"/>
      <c r="B28" s="947" t="s">
        <v>1353</v>
      </c>
      <c r="C28" s="1423" t="s">
        <v>1393</v>
      </c>
      <c r="D28" s="1423"/>
      <c r="E28" s="1423"/>
      <c r="F28" s="941" t="s">
        <v>1886</v>
      </c>
      <c r="G28" s="942">
        <v>14210.15</v>
      </c>
      <c r="H28" s="942">
        <f t="shared" si="3"/>
        <v>2699.9285</v>
      </c>
      <c r="I28" s="978">
        <f t="shared" si="1"/>
        <v>16910.0785</v>
      </c>
    </row>
    <row r="29" spans="1:11" x14ac:dyDescent="0.25">
      <c r="A29" s="979"/>
      <c r="B29" s="947"/>
      <c r="C29" s="947" t="s">
        <v>1394</v>
      </c>
      <c r="D29" s="1423" t="s">
        <v>1395</v>
      </c>
      <c r="E29" s="1423"/>
      <c r="F29" s="941" t="s">
        <v>1887</v>
      </c>
      <c r="G29" s="942">
        <v>8526.09</v>
      </c>
      <c r="H29" s="942">
        <f t="shared" si="3"/>
        <v>1619.9571000000001</v>
      </c>
      <c r="I29" s="978">
        <f t="shared" si="1"/>
        <v>10146.0471</v>
      </c>
    </row>
    <row r="30" spans="1:11" ht="42.75" customHeight="1" x14ac:dyDescent="0.25">
      <c r="A30" s="979"/>
      <c r="B30" s="947"/>
      <c r="C30" s="947" t="s">
        <v>1396</v>
      </c>
      <c r="D30" s="1425" t="s">
        <v>1397</v>
      </c>
      <c r="E30" s="1425"/>
      <c r="F30" s="941" t="s">
        <v>1888</v>
      </c>
      <c r="G30" s="942">
        <v>5684.06</v>
      </c>
      <c r="H30" s="942">
        <f t="shared" si="3"/>
        <v>1079.9714000000001</v>
      </c>
      <c r="I30" s="978">
        <f t="shared" si="1"/>
        <v>6764.0314000000008</v>
      </c>
    </row>
    <row r="31" spans="1:11" x14ac:dyDescent="0.25">
      <c r="A31" s="979"/>
      <c r="B31" s="947" t="s">
        <v>1398</v>
      </c>
      <c r="C31" s="1426" t="s">
        <v>1399</v>
      </c>
      <c r="D31" s="1427"/>
      <c r="E31" s="1428"/>
      <c r="F31" s="941" t="s">
        <v>1889</v>
      </c>
      <c r="G31" s="942">
        <v>28420.32</v>
      </c>
      <c r="H31" s="942">
        <f t="shared" si="3"/>
        <v>5399.8608000000004</v>
      </c>
      <c r="I31" s="978">
        <f t="shared" si="1"/>
        <v>33820.180800000002</v>
      </c>
    </row>
    <row r="32" spans="1:11" ht="15.75" thickBot="1" x14ac:dyDescent="0.3">
      <c r="A32" s="1421" t="s">
        <v>1400</v>
      </c>
      <c r="B32" s="1422"/>
      <c r="C32" s="1422"/>
      <c r="D32" s="1422"/>
      <c r="E32" s="1422"/>
      <c r="F32" s="980"/>
      <c r="G32" s="981">
        <f>SUM(G9+G13+G14+G15+G16+G23+G24+G27)</f>
        <v>275630.46999999997</v>
      </c>
      <c r="H32" s="981">
        <f>SUM(H9+H13+H14+H15+H16+H23+H24+H27)</f>
        <v>50089.789300000004</v>
      </c>
      <c r="I32" s="982">
        <f>SUM(I9+I13+I14+I15+I16+I23+I24+I27)</f>
        <v>325720.25930000003</v>
      </c>
      <c r="K32" s="473"/>
    </row>
    <row r="33" spans="1:16" x14ac:dyDescent="0.25">
      <c r="A33" s="952"/>
      <c r="B33" s="952"/>
      <c r="C33" s="952"/>
      <c r="D33" s="952"/>
      <c r="E33" s="952"/>
      <c r="F33" s="952"/>
      <c r="G33" s="953"/>
      <c r="H33" s="952"/>
      <c r="I33" s="952"/>
    </row>
    <row r="34" spans="1:16" x14ac:dyDescent="0.25">
      <c r="A34" s="1418" t="s">
        <v>1297</v>
      </c>
      <c r="B34" s="1419"/>
      <c r="C34" s="1420"/>
      <c r="D34" s="956">
        <f>DG!E128</f>
        <v>43692</v>
      </c>
      <c r="E34" s="952"/>
      <c r="F34" s="952"/>
      <c r="G34" s="954"/>
      <c r="H34" s="952"/>
      <c r="I34" s="962" t="str">
        <f>DG!I128</f>
        <v>Întocmit,</v>
      </c>
    </row>
    <row r="35" spans="1:16" x14ac:dyDescent="0.25">
      <c r="A35" s="1412" t="s">
        <v>1298</v>
      </c>
      <c r="B35" s="1413"/>
      <c r="C35" s="1414"/>
      <c r="D35" s="958">
        <f>'01-DO Max'!B33</f>
        <v>4.7317</v>
      </c>
      <c r="E35" s="955"/>
      <c r="F35" s="951"/>
      <c r="G35" s="952"/>
      <c r="H35" s="952"/>
      <c r="I35" s="962"/>
      <c r="P35" s="476"/>
    </row>
    <row r="36" spans="1:16" x14ac:dyDescent="0.25">
      <c r="A36" s="1415" t="s">
        <v>1815</v>
      </c>
      <c r="B36" s="1416"/>
      <c r="C36" s="1417"/>
      <c r="D36" s="957">
        <f>DG!E130</f>
        <v>0.19</v>
      </c>
      <c r="E36" s="952"/>
      <c r="F36" s="952"/>
      <c r="G36" s="952"/>
      <c r="H36" s="952"/>
      <c r="I36" s="962"/>
    </row>
    <row r="37" spans="1:16" x14ac:dyDescent="0.25">
      <c r="A37" s="1411" t="s">
        <v>1816</v>
      </c>
      <c r="B37" s="1411"/>
      <c r="C37" s="1411"/>
      <c r="D37" s="959">
        <f>G32/G49</f>
        <v>9.8351613637754104E-2</v>
      </c>
      <c r="I37" s="962" t="str">
        <f>DG!I132</f>
        <v>ing. Parlapan Răzvan Gabriel</v>
      </c>
      <c r="J37" s="476"/>
      <c r="P37" s="476"/>
    </row>
    <row r="43" spans="1:16" x14ac:dyDescent="0.25">
      <c r="E43" s="481"/>
      <c r="G43" s="474"/>
    </row>
    <row r="44" spans="1:16" x14ac:dyDescent="0.25">
      <c r="F44" s="477"/>
      <c r="G44" s="476"/>
    </row>
    <row r="45" spans="1:16" x14ac:dyDescent="0.25">
      <c r="G45" s="794" t="s">
        <v>1122</v>
      </c>
      <c r="H45" s="795"/>
      <c r="I45" s="795"/>
      <c r="J45" s="479"/>
    </row>
    <row r="46" spans="1:16" x14ac:dyDescent="0.25">
      <c r="E46" s="478" t="s">
        <v>1401</v>
      </c>
      <c r="G46" s="792">
        <f>DG!G29</f>
        <v>0</v>
      </c>
      <c r="H46" s="790"/>
      <c r="I46" s="789"/>
      <c r="J46" s="480"/>
    </row>
    <row r="47" spans="1:16" x14ac:dyDescent="0.25">
      <c r="E47" s="478" t="s">
        <v>1402</v>
      </c>
      <c r="G47" s="792">
        <f>DG!G96</f>
        <v>2802500.74</v>
      </c>
      <c r="H47" s="790"/>
      <c r="I47" s="791"/>
      <c r="J47" s="480"/>
    </row>
    <row r="48" spans="1:16" x14ac:dyDescent="0.25">
      <c r="E48" s="478" t="s">
        <v>1403</v>
      </c>
      <c r="G48" s="792">
        <f>DG!G58</f>
        <v>2802500.74</v>
      </c>
      <c r="H48" s="790"/>
      <c r="I48" s="791"/>
    </row>
    <row r="49" spans="5:10" x14ac:dyDescent="0.25">
      <c r="E49" s="478" t="s">
        <v>1404</v>
      </c>
      <c r="G49" s="792">
        <f>G46+G47</f>
        <v>2802500.74</v>
      </c>
      <c r="H49" s="790"/>
      <c r="I49" s="791"/>
    </row>
    <row r="50" spans="5:10" x14ac:dyDescent="0.25">
      <c r="E50" s="478" t="s">
        <v>1405</v>
      </c>
      <c r="G50" s="792">
        <f>3%*G49-G19</f>
        <v>54075.022200000007</v>
      </c>
      <c r="H50" s="790"/>
      <c r="I50" s="789"/>
    </row>
    <row r="51" spans="5:10" x14ac:dyDescent="0.25">
      <c r="E51" s="475" t="s">
        <v>1406</v>
      </c>
      <c r="G51" s="792">
        <f>0.9*G50</f>
        <v>48667.519980000005</v>
      </c>
      <c r="H51" s="792"/>
      <c r="I51" s="793"/>
      <c r="J51" s="474"/>
    </row>
    <row r="52" spans="5:10" x14ac:dyDescent="0.25">
      <c r="E52" s="475" t="s">
        <v>1407</v>
      </c>
      <c r="G52" s="792">
        <f>G50*0.1</f>
        <v>5407.5022200000012</v>
      </c>
      <c r="H52" s="792"/>
      <c r="I52" s="793"/>
    </row>
    <row r="54" spans="5:10" x14ac:dyDescent="0.25">
      <c r="E54" s="605" t="s">
        <v>1504</v>
      </c>
      <c r="G54" s="581">
        <f>DG!G29</f>
        <v>0</v>
      </c>
    </row>
    <row r="55" spans="5:10" x14ac:dyDescent="0.25">
      <c r="E55" s="605" t="s">
        <v>1505</v>
      </c>
      <c r="G55" s="581">
        <f>DG!G96</f>
        <v>2802500.74</v>
      </c>
      <c r="I55" s="894">
        <f>G55*5%</f>
        <v>140125.03700000001</v>
      </c>
    </row>
    <row r="56" spans="5:10" x14ac:dyDescent="0.25">
      <c r="E56" s="605" t="s">
        <v>1506</v>
      </c>
      <c r="G56" s="581">
        <f>DG!G58</f>
        <v>2802500.74</v>
      </c>
    </row>
    <row r="57" spans="5:10" x14ac:dyDescent="0.25">
      <c r="E57" s="475"/>
    </row>
    <row r="58" spans="5:10" x14ac:dyDescent="0.25">
      <c r="E58" s="605" t="s">
        <v>1507</v>
      </c>
      <c r="G58" s="581">
        <f>G54+G55</f>
        <v>2802500.74</v>
      </c>
    </row>
    <row r="59" spans="5:10" x14ac:dyDescent="0.25">
      <c r="E59" s="605" t="s">
        <v>1508</v>
      </c>
      <c r="G59" s="581">
        <f>G54+G56</f>
        <v>2802500.74</v>
      </c>
    </row>
  </sheetData>
  <mergeCells count="34">
    <mergeCell ref="A3:I3"/>
    <mergeCell ref="A1:I2"/>
    <mergeCell ref="A37:C37"/>
    <mergeCell ref="A35:C35"/>
    <mergeCell ref="A36:C36"/>
    <mergeCell ref="A34:C34"/>
    <mergeCell ref="A32:E32"/>
    <mergeCell ref="C26:E26"/>
    <mergeCell ref="B27:E27"/>
    <mergeCell ref="C28:E28"/>
    <mergeCell ref="D29:E29"/>
    <mergeCell ref="D30:E30"/>
    <mergeCell ref="C31:E31"/>
    <mergeCell ref="C25:E25"/>
    <mergeCell ref="B14:E14"/>
    <mergeCell ref="B15:E15"/>
    <mergeCell ref="C21:E21"/>
    <mergeCell ref="C22:E22"/>
    <mergeCell ref="B23:E23"/>
    <mergeCell ref="B24:E24"/>
    <mergeCell ref="B9:E9"/>
    <mergeCell ref="C10:E10"/>
    <mergeCell ref="C11:E11"/>
    <mergeCell ref="C12:E12"/>
    <mergeCell ref="B16:E16"/>
    <mergeCell ref="C17:E17"/>
    <mergeCell ref="C18:E18"/>
    <mergeCell ref="C19:E19"/>
    <mergeCell ref="C20:E20"/>
    <mergeCell ref="F6:F8"/>
    <mergeCell ref="B13:E13"/>
    <mergeCell ref="A6:A8"/>
    <mergeCell ref="B6:E8"/>
    <mergeCell ref="G6:I6"/>
  </mergeCells>
  <pageMargins left="0.7" right="0.7" top="0.75" bottom="0.75" header="0.3" footer="0.3"/>
  <pageSetup paperSize="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5"/>
  <sheetViews>
    <sheetView view="pageBreakPreview" zoomScaleNormal="100" zoomScaleSheetLayoutView="100" workbookViewId="0">
      <selection activeCell="I11" sqref="I11"/>
    </sheetView>
  </sheetViews>
  <sheetFormatPr defaultRowHeight="15" x14ac:dyDescent="0.25"/>
  <cols>
    <col min="1" max="1" width="5.85546875" style="32" customWidth="1"/>
    <col min="2" max="2" width="10.5703125" style="29" customWidth="1"/>
    <col min="3" max="3" width="50" style="30" customWidth="1"/>
    <col min="4" max="4" width="17.7109375" style="31" customWidth="1"/>
    <col min="5" max="6" width="16.7109375" style="32" customWidth="1"/>
    <col min="7" max="7" width="16.7109375" customWidth="1"/>
    <col min="257" max="257" width="5.85546875" customWidth="1"/>
    <col min="258" max="258" width="8.140625" customWidth="1"/>
    <col min="259" max="259" width="50" customWidth="1"/>
    <col min="260" max="263" width="16.28515625" customWidth="1"/>
    <col min="513" max="513" width="5.85546875" customWidth="1"/>
    <col min="514" max="514" width="8.140625" customWidth="1"/>
    <col min="515" max="515" width="50" customWidth="1"/>
    <col min="516" max="519" width="16.28515625" customWidth="1"/>
    <col min="769" max="769" width="5.85546875" customWidth="1"/>
    <col min="770" max="770" width="8.140625" customWidth="1"/>
    <col min="771" max="771" width="50" customWidth="1"/>
    <col min="772" max="775" width="16.28515625" customWidth="1"/>
    <col min="1025" max="1025" width="5.85546875" customWidth="1"/>
    <col min="1026" max="1026" width="8.140625" customWidth="1"/>
    <col min="1027" max="1027" width="50" customWidth="1"/>
    <col min="1028" max="1031" width="16.28515625" customWidth="1"/>
    <col min="1281" max="1281" width="5.85546875" customWidth="1"/>
    <col min="1282" max="1282" width="8.140625" customWidth="1"/>
    <col min="1283" max="1283" width="50" customWidth="1"/>
    <col min="1284" max="1287" width="16.28515625" customWidth="1"/>
    <col min="1537" max="1537" width="5.85546875" customWidth="1"/>
    <col min="1538" max="1538" width="8.140625" customWidth="1"/>
    <col min="1539" max="1539" width="50" customWidth="1"/>
    <col min="1540" max="1543" width="16.28515625" customWidth="1"/>
    <col min="1793" max="1793" width="5.85546875" customWidth="1"/>
    <col min="1794" max="1794" width="8.140625" customWidth="1"/>
    <col min="1795" max="1795" width="50" customWidth="1"/>
    <col min="1796" max="1799" width="16.28515625" customWidth="1"/>
    <col min="2049" max="2049" width="5.85546875" customWidth="1"/>
    <col min="2050" max="2050" width="8.140625" customWidth="1"/>
    <col min="2051" max="2051" width="50" customWidth="1"/>
    <col min="2052" max="2055" width="16.28515625" customWidth="1"/>
    <col min="2305" max="2305" width="5.85546875" customWidth="1"/>
    <col min="2306" max="2306" width="8.140625" customWidth="1"/>
    <col min="2307" max="2307" width="50" customWidth="1"/>
    <col min="2308" max="2311" width="16.28515625" customWidth="1"/>
    <col min="2561" max="2561" width="5.85546875" customWidth="1"/>
    <col min="2562" max="2562" width="8.140625" customWidth="1"/>
    <col min="2563" max="2563" width="50" customWidth="1"/>
    <col min="2564" max="2567" width="16.28515625" customWidth="1"/>
    <col min="2817" max="2817" width="5.85546875" customWidth="1"/>
    <col min="2818" max="2818" width="8.140625" customWidth="1"/>
    <col min="2819" max="2819" width="50" customWidth="1"/>
    <col min="2820" max="2823" width="16.28515625" customWidth="1"/>
    <col min="3073" max="3073" width="5.85546875" customWidth="1"/>
    <col min="3074" max="3074" width="8.140625" customWidth="1"/>
    <col min="3075" max="3075" width="50" customWidth="1"/>
    <col min="3076" max="3079" width="16.28515625" customWidth="1"/>
    <col min="3329" max="3329" width="5.85546875" customWidth="1"/>
    <col min="3330" max="3330" width="8.140625" customWidth="1"/>
    <col min="3331" max="3331" width="50" customWidth="1"/>
    <col min="3332" max="3335" width="16.28515625" customWidth="1"/>
    <col min="3585" max="3585" width="5.85546875" customWidth="1"/>
    <col min="3586" max="3586" width="8.140625" customWidth="1"/>
    <col min="3587" max="3587" width="50" customWidth="1"/>
    <col min="3588" max="3591" width="16.28515625" customWidth="1"/>
    <col min="3841" max="3841" width="5.85546875" customWidth="1"/>
    <col min="3842" max="3842" width="8.140625" customWidth="1"/>
    <col min="3843" max="3843" width="50" customWidth="1"/>
    <col min="3844" max="3847" width="16.28515625" customWidth="1"/>
    <col min="4097" max="4097" width="5.85546875" customWidth="1"/>
    <col min="4098" max="4098" width="8.140625" customWidth="1"/>
    <col min="4099" max="4099" width="50" customWidth="1"/>
    <col min="4100" max="4103" width="16.28515625" customWidth="1"/>
    <col min="4353" max="4353" width="5.85546875" customWidth="1"/>
    <col min="4354" max="4354" width="8.140625" customWidth="1"/>
    <col min="4355" max="4355" width="50" customWidth="1"/>
    <col min="4356" max="4359" width="16.28515625" customWidth="1"/>
    <col min="4609" max="4609" width="5.85546875" customWidth="1"/>
    <col min="4610" max="4610" width="8.140625" customWidth="1"/>
    <col min="4611" max="4611" width="50" customWidth="1"/>
    <col min="4612" max="4615" width="16.28515625" customWidth="1"/>
    <col min="4865" max="4865" width="5.85546875" customWidth="1"/>
    <col min="4866" max="4866" width="8.140625" customWidth="1"/>
    <col min="4867" max="4867" width="50" customWidth="1"/>
    <col min="4868" max="4871" width="16.28515625" customWidth="1"/>
    <col min="5121" max="5121" width="5.85546875" customWidth="1"/>
    <col min="5122" max="5122" width="8.140625" customWidth="1"/>
    <col min="5123" max="5123" width="50" customWidth="1"/>
    <col min="5124" max="5127" width="16.28515625" customWidth="1"/>
    <col min="5377" max="5377" width="5.85546875" customWidth="1"/>
    <col min="5378" max="5378" width="8.140625" customWidth="1"/>
    <col min="5379" max="5379" width="50" customWidth="1"/>
    <col min="5380" max="5383" width="16.28515625" customWidth="1"/>
    <col min="5633" max="5633" width="5.85546875" customWidth="1"/>
    <col min="5634" max="5634" width="8.140625" customWidth="1"/>
    <col min="5635" max="5635" width="50" customWidth="1"/>
    <col min="5636" max="5639" width="16.28515625" customWidth="1"/>
    <col min="5889" max="5889" width="5.85546875" customWidth="1"/>
    <col min="5890" max="5890" width="8.140625" customWidth="1"/>
    <col min="5891" max="5891" width="50" customWidth="1"/>
    <col min="5892" max="5895" width="16.28515625" customWidth="1"/>
    <col min="6145" max="6145" width="5.85546875" customWidth="1"/>
    <col min="6146" max="6146" width="8.140625" customWidth="1"/>
    <col min="6147" max="6147" width="50" customWidth="1"/>
    <col min="6148" max="6151" width="16.28515625" customWidth="1"/>
    <col min="6401" max="6401" width="5.85546875" customWidth="1"/>
    <col min="6402" max="6402" width="8.140625" customWidth="1"/>
    <col min="6403" max="6403" width="50" customWidth="1"/>
    <col min="6404" max="6407" width="16.28515625" customWidth="1"/>
    <col min="6657" max="6657" width="5.85546875" customWidth="1"/>
    <col min="6658" max="6658" width="8.140625" customWidth="1"/>
    <col min="6659" max="6659" width="50" customWidth="1"/>
    <col min="6660" max="6663" width="16.28515625" customWidth="1"/>
    <col min="6913" max="6913" width="5.85546875" customWidth="1"/>
    <col min="6914" max="6914" width="8.140625" customWidth="1"/>
    <col min="6915" max="6915" width="50" customWidth="1"/>
    <col min="6916" max="6919" width="16.28515625" customWidth="1"/>
    <col min="7169" max="7169" width="5.85546875" customWidth="1"/>
    <col min="7170" max="7170" width="8.140625" customWidth="1"/>
    <col min="7171" max="7171" width="50" customWidth="1"/>
    <col min="7172" max="7175" width="16.28515625" customWidth="1"/>
    <col min="7425" max="7425" width="5.85546875" customWidth="1"/>
    <col min="7426" max="7426" width="8.140625" customWidth="1"/>
    <col min="7427" max="7427" width="50" customWidth="1"/>
    <col min="7428" max="7431" width="16.28515625" customWidth="1"/>
    <col min="7681" max="7681" width="5.85546875" customWidth="1"/>
    <col min="7682" max="7682" width="8.140625" customWidth="1"/>
    <col min="7683" max="7683" width="50" customWidth="1"/>
    <col min="7684" max="7687" width="16.28515625" customWidth="1"/>
    <col min="7937" max="7937" width="5.85546875" customWidth="1"/>
    <col min="7938" max="7938" width="8.140625" customWidth="1"/>
    <col min="7939" max="7939" width="50" customWidth="1"/>
    <col min="7940" max="7943" width="16.28515625" customWidth="1"/>
    <col min="8193" max="8193" width="5.85546875" customWidth="1"/>
    <col min="8194" max="8194" width="8.140625" customWidth="1"/>
    <col min="8195" max="8195" width="50" customWidth="1"/>
    <col min="8196" max="8199" width="16.28515625" customWidth="1"/>
    <col min="8449" max="8449" width="5.85546875" customWidth="1"/>
    <col min="8450" max="8450" width="8.140625" customWidth="1"/>
    <col min="8451" max="8451" width="50" customWidth="1"/>
    <col min="8452" max="8455" width="16.28515625" customWidth="1"/>
    <col min="8705" max="8705" width="5.85546875" customWidth="1"/>
    <col min="8706" max="8706" width="8.140625" customWidth="1"/>
    <col min="8707" max="8707" width="50" customWidth="1"/>
    <col min="8708" max="8711" width="16.28515625" customWidth="1"/>
    <col min="8961" max="8961" width="5.85546875" customWidth="1"/>
    <col min="8962" max="8962" width="8.140625" customWidth="1"/>
    <col min="8963" max="8963" width="50" customWidth="1"/>
    <col min="8964" max="8967" width="16.28515625" customWidth="1"/>
    <col min="9217" max="9217" width="5.85546875" customWidth="1"/>
    <col min="9218" max="9218" width="8.140625" customWidth="1"/>
    <col min="9219" max="9219" width="50" customWidth="1"/>
    <col min="9220" max="9223" width="16.28515625" customWidth="1"/>
    <col min="9473" max="9473" width="5.85546875" customWidth="1"/>
    <col min="9474" max="9474" width="8.140625" customWidth="1"/>
    <col min="9475" max="9475" width="50" customWidth="1"/>
    <col min="9476" max="9479" width="16.28515625" customWidth="1"/>
    <col min="9729" max="9729" width="5.85546875" customWidth="1"/>
    <col min="9730" max="9730" width="8.140625" customWidth="1"/>
    <col min="9731" max="9731" width="50" customWidth="1"/>
    <col min="9732" max="9735" width="16.28515625" customWidth="1"/>
    <col min="9985" max="9985" width="5.85546875" customWidth="1"/>
    <col min="9986" max="9986" width="8.140625" customWidth="1"/>
    <col min="9987" max="9987" width="50" customWidth="1"/>
    <col min="9988" max="9991" width="16.28515625" customWidth="1"/>
    <col min="10241" max="10241" width="5.85546875" customWidth="1"/>
    <col min="10242" max="10242" width="8.140625" customWidth="1"/>
    <col min="10243" max="10243" width="50" customWidth="1"/>
    <col min="10244" max="10247" width="16.28515625" customWidth="1"/>
    <col min="10497" max="10497" width="5.85546875" customWidth="1"/>
    <col min="10498" max="10498" width="8.140625" customWidth="1"/>
    <col min="10499" max="10499" width="50" customWidth="1"/>
    <col min="10500" max="10503" width="16.28515625" customWidth="1"/>
    <col min="10753" max="10753" width="5.85546875" customWidth="1"/>
    <col min="10754" max="10754" width="8.140625" customWidth="1"/>
    <col min="10755" max="10755" width="50" customWidth="1"/>
    <col min="10756" max="10759" width="16.28515625" customWidth="1"/>
    <col min="11009" max="11009" width="5.85546875" customWidth="1"/>
    <col min="11010" max="11010" width="8.140625" customWidth="1"/>
    <col min="11011" max="11011" width="50" customWidth="1"/>
    <col min="11012" max="11015" width="16.28515625" customWidth="1"/>
    <col min="11265" max="11265" width="5.85546875" customWidth="1"/>
    <col min="11266" max="11266" width="8.140625" customWidth="1"/>
    <col min="11267" max="11267" width="50" customWidth="1"/>
    <col min="11268" max="11271" width="16.28515625" customWidth="1"/>
    <col min="11521" max="11521" width="5.85546875" customWidth="1"/>
    <col min="11522" max="11522" width="8.140625" customWidth="1"/>
    <col min="11523" max="11523" width="50" customWidth="1"/>
    <col min="11524" max="11527" width="16.28515625" customWidth="1"/>
    <col min="11777" max="11777" width="5.85546875" customWidth="1"/>
    <col min="11778" max="11778" width="8.140625" customWidth="1"/>
    <col min="11779" max="11779" width="50" customWidth="1"/>
    <col min="11780" max="11783" width="16.28515625" customWidth="1"/>
    <col min="12033" max="12033" width="5.85546875" customWidth="1"/>
    <col min="12034" max="12034" width="8.140625" customWidth="1"/>
    <col min="12035" max="12035" width="50" customWidth="1"/>
    <col min="12036" max="12039" width="16.28515625" customWidth="1"/>
    <col min="12289" max="12289" width="5.85546875" customWidth="1"/>
    <col min="12290" max="12290" width="8.140625" customWidth="1"/>
    <col min="12291" max="12291" width="50" customWidth="1"/>
    <col min="12292" max="12295" width="16.28515625" customWidth="1"/>
    <col min="12545" max="12545" width="5.85546875" customWidth="1"/>
    <col min="12546" max="12546" width="8.140625" customWidth="1"/>
    <col min="12547" max="12547" width="50" customWidth="1"/>
    <col min="12548" max="12551" width="16.28515625" customWidth="1"/>
    <col min="12801" max="12801" width="5.85546875" customWidth="1"/>
    <col min="12802" max="12802" width="8.140625" customWidth="1"/>
    <col min="12803" max="12803" width="50" customWidth="1"/>
    <col min="12804" max="12807" width="16.28515625" customWidth="1"/>
    <col min="13057" max="13057" width="5.85546875" customWidth="1"/>
    <col min="13058" max="13058" width="8.140625" customWidth="1"/>
    <col min="13059" max="13059" width="50" customWidth="1"/>
    <col min="13060" max="13063" width="16.28515625" customWidth="1"/>
    <col min="13313" max="13313" width="5.85546875" customWidth="1"/>
    <col min="13314" max="13314" width="8.140625" customWidth="1"/>
    <col min="13315" max="13315" width="50" customWidth="1"/>
    <col min="13316" max="13319" width="16.28515625" customWidth="1"/>
    <col min="13569" max="13569" width="5.85546875" customWidth="1"/>
    <col min="13570" max="13570" width="8.140625" customWidth="1"/>
    <col min="13571" max="13571" width="50" customWidth="1"/>
    <col min="13572" max="13575" width="16.28515625" customWidth="1"/>
    <col min="13825" max="13825" width="5.85546875" customWidth="1"/>
    <col min="13826" max="13826" width="8.140625" customWidth="1"/>
    <col min="13827" max="13827" width="50" customWidth="1"/>
    <col min="13828" max="13831" width="16.28515625" customWidth="1"/>
    <col min="14081" max="14081" width="5.85546875" customWidth="1"/>
    <col min="14082" max="14082" width="8.140625" customWidth="1"/>
    <col min="14083" max="14083" width="50" customWidth="1"/>
    <col min="14084" max="14087" width="16.28515625" customWidth="1"/>
    <col min="14337" max="14337" width="5.85546875" customWidth="1"/>
    <col min="14338" max="14338" width="8.140625" customWidth="1"/>
    <col min="14339" max="14339" width="50" customWidth="1"/>
    <col min="14340" max="14343" width="16.28515625" customWidth="1"/>
    <col min="14593" max="14593" width="5.85546875" customWidth="1"/>
    <col min="14594" max="14594" width="8.140625" customWidth="1"/>
    <col min="14595" max="14595" width="50" customWidth="1"/>
    <col min="14596" max="14599" width="16.28515625" customWidth="1"/>
    <col min="14849" max="14849" width="5.85546875" customWidth="1"/>
    <col min="14850" max="14850" width="8.140625" customWidth="1"/>
    <col min="14851" max="14851" width="50" customWidth="1"/>
    <col min="14852" max="14855" width="16.28515625" customWidth="1"/>
    <col min="15105" max="15105" width="5.85546875" customWidth="1"/>
    <col min="15106" max="15106" width="8.140625" customWidth="1"/>
    <col min="15107" max="15107" width="50" customWidth="1"/>
    <col min="15108" max="15111" width="16.28515625" customWidth="1"/>
    <col min="15361" max="15361" width="5.85546875" customWidth="1"/>
    <col min="15362" max="15362" width="8.140625" customWidth="1"/>
    <col min="15363" max="15363" width="50" customWidth="1"/>
    <col min="15364" max="15367" width="16.28515625" customWidth="1"/>
    <col min="15617" max="15617" width="5.85546875" customWidth="1"/>
    <col min="15618" max="15618" width="8.140625" customWidth="1"/>
    <col min="15619" max="15619" width="50" customWidth="1"/>
    <col min="15620" max="15623" width="16.28515625" customWidth="1"/>
    <col min="15873" max="15873" width="5.85546875" customWidth="1"/>
    <col min="15874" max="15874" width="8.140625" customWidth="1"/>
    <col min="15875" max="15875" width="50" customWidth="1"/>
    <col min="15876" max="15879" width="16.28515625" customWidth="1"/>
    <col min="16129" max="16129" width="5.85546875" customWidth="1"/>
    <col min="16130" max="16130" width="8.140625" customWidth="1"/>
    <col min="16131" max="16131" width="50" customWidth="1"/>
    <col min="16132" max="16135" width="16.28515625" customWidth="1"/>
  </cols>
  <sheetData>
    <row r="1" spans="1:7" s="923" customFormat="1" ht="36.75" customHeight="1" x14ac:dyDescent="0.25">
      <c r="A1" s="922"/>
      <c r="B1" s="1433" t="s">
        <v>1876</v>
      </c>
      <c r="C1" s="1433"/>
      <c r="D1" s="1433"/>
      <c r="E1" s="1433"/>
      <c r="F1" s="1433"/>
      <c r="G1" s="1433"/>
    </row>
    <row r="2" spans="1:7" s="923" customFormat="1" ht="17.25" customHeight="1" x14ac:dyDescent="0.25">
      <c r="A2" s="922"/>
      <c r="B2" s="1118"/>
      <c r="C2" s="1118" t="s">
        <v>1877</v>
      </c>
      <c r="D2" s="1118"/>
      <c r="E2" s="1118"/>
      <c r="F2" s="1118"/>
      <c r="G2" s="1118"/>
    </row>
    <row r="3" spans="1:7" ht="14.45" x14ac:dyDescent="0.3">
      <c r="B3" s="912" t="s">
        <v>348</v>
      </c>
      <c r="C3" s="913"/>
      <c r="D3" s="914"/>
      <c r="E3" s="914"/>
      <c r="F3" s="914"/>
      <c r="G3" s="921"/>
    </row>
    <row r="4" spans="1:7" ht="15" customHeight="1" x14ac:dyDescent="0.25">
      <c r="B4" s="1434" t="s">
        <v>1826</v>
      </c>
      <c r="C4" s="1434"/>
      <c r="D4" s="1434"/>
      <c r="E4" s="1434"/>
      <c r="F4" s="1434"/>
      <c r="G4" s="1434"/>
    </row>
    <row r="5" spans="1:7" x14ac:dyDescent="0.25">
      <c r="B5" s="1434"/>
      <c r="C5" s="1434"/>
      <c r="D5" s="1434"/>
      <c r="E5" s="1434"/>
      <c r="F5" s="1434"/>
      <c r="G5" s="1434"/>
    </row>
    <row r="6" spans="1:7" thickBot="1" x14ac:dyDescent="0.35">
      <c r="B6" s="997" t="s">
        <v>1499</v>
      </c>
      <c r="C6" s="998" t="s">
        <v>1863</v>
      </c>
      <c r="D6" s="34"/>
      <c r="E6" s="34"/>
      <c r="F6" s="34"/>
    </row>
    <row r="7" spans="1:7" ht="14.45" hidden="1" x14ac:dyDescent="0.3">
      <c r="B7" s="967"/>
      <c r="C7" s="968"/>
      <c r="D7" s="969"/>
      <c r="E7" s="969"/>
      <c r="F7" s="969"/>
      <c r="G7" s="971"/>
    </row>
    <row r="8" spans="1:7" x14ac:dyDescent="0.25">
      <c r="B8" s="1435" t="s">
        <v>11</v>
      </c>
      <c r="C8" s="1437" t="s">
        <v>1273</v>
      </c>
      <c r="D8" s="970" t="s">
        <v>68</v>
      </c>
      <c r="E8" s="970" t="s">
        <v>17</v>
      </c>
      <c r="F8" s="970" t="s">
        <v>18</v>
      </c>
      <c r="G8" s="972" t="s">
        <v>18</v>
      </c>
    </row>
    <row r="9" spans="1:7" x14ac:dyDescent="0.25">
      <c r="B9" s="1436"/>
      <c r="C9" s="1438"/>
      <c r="D9" s="895" t="s">
        <v>1274</v>
      </c>
      <c r="E9" s="895" t="s">
        <v>1274</v>
      </c>
      <c r="F9" s="895" t="s">
        <v>1274</v>
      </c>
      <c r="G9" s="965" t="s">
        <v>1813</v>
      </c>
    </row>
    <row r="10" spans="1:7" ht="14.45" x14ac:dyDescent="0.3">
      <c r="B10" s="896">
        <v>1</v>
      </c>
      <c r="C10" s="897">
        <v>2</v>
      </c>
      <c r="D10" s="897">
        <v>3</v>
      </c>
      <c r="E10" s="897">
        <v>4</v>
      </c>
      <c r="F10" s="897">
        <v>5</v>
      </c>
      <c r="G10" s="966">
        <v>6</v>
      </c>
    </row>
    <row r="11" spans="1:7" x14ac:dyDescent="0.25">
      <c r="B11" s="1439" t="s">
        <v>1827</v>
      </c>
      <c r="C11" s="1440"/>
      <c r="D11" s="1440"/>
      <c r="E11" s="1440"/>
      <c r="F11" s="1440"/>
      <c r="G11" s="1441"/>
    </row>
    <row r="12" spans="1:7" ht="24" x14ac:dyDescent="0.25">
      <c r="B12" s="1113" t="s">
        <v>37</v>
      </c>
      <c r="C12" s="1114" t="s">
        <v>1893</v>
      </c>
      <c r="D12" s="1115">
        <f>SUM(D13:D16)</f>
        <v>2802500.74</v>
      </c>
      <c r="E12" s="1115">
        <f t="shared" ref="E12:E19" si="0">D12*0.19</f>
        <v>532475.14060000004</v>
      </c>
      <c r="F12" s="1116">
        <f>SUM(F14:F16)</f>
        <v>3334975.8805999998</v>
      </c>
      <c r="G12" s="1117">
        <f>F12/B33</f>
        <v>704815.58015089715</v>
      </c>
    </row>
    <row r="13" spans="1:7" ht="24" x14ac:dyDescent="0.25">
      <c r="B13" s="1075" t="s">
        <v>1828</v>
      </c>
      <c r="C13" s="1092" t="s">
        <v>1869</v>
      </c>
      <c r="D13" s="1076">
        <v>0</v>
      </c>
      <c r="E13" s="1076">
        <f t="shared" si="0"/>
        <v>0</v>
      </c>
      <c r="F13" s="1076">
        <v>0</v>
      </c>
      <c r="G13" s="1076">
        <f>F13/B33</f>
        <v>0</v>
      </c>
    </row>
    <row r="14" spans="1:7" x14ac:dyDescent="0.25">
      <c r="B14" s="1075" t="s">
        <v>1829</v>
      </c>
      <c r="C14" s="1092" t="s">
        <v>1894</v>
      </c>
      <c r="D14" s="1076">
        <v>1044375.8</v>
      </c>
      <c r="E14" s="1076">
        <f t="shared" si="0"/>
        <v>198431.402</v>
      </c>
      <c r="F14" s="1076">
        <f t="shared" ref="F14:F19" si="1">SUM(D14:E14)</f>
        <v>1242807.202</v>
      </c>
      <c r="G14" s="1078">
        <f>F14/B33</f>
        <v>262655.53648794303</v>
      </c>
    </row>
    <row r="15" spans="1:7" x14ac:dyDescent="0.25">
      <c r="B15" s="1075" t="s">
        <v>1830</v>
      </c>
      <c r="C15" s="1092" t="s">
        <v>1895</v>
      </c>
      <c r="D15" s="1076">
        <v>1508375.28</v>
      </c>
      <c r="E15" s="1076">
        <f t="shared" si="0"/>
        <v>286591.30320000002</v>
      </c>
      <c r="F15" s="1077">
        <f t="shared" si="1"/>
        <v>1794966.5832</v>
      </c>
      <c r="G15" s="1078">
        <f>F15/B33</f>
        <v>379349.1944121563</v>
      </c>
    </row>
    <row r="16" spans="1:7" x14ac:dyDescent="0.25">
      <c r="B16" s="1075" t="s">
        <v>1831</v>
      </c>
      <c r="C16" s="1092" t="s">
        <v>1870</v>
      </c>
      <c r="D16" s="1076">
        <f>SUM(D17:D18)</f>
        <v>249749.66</v>
      </c>
      <c r="E16" s="1076">
        <f t="shared" si="0"/>
        <v>47452.435400000002</v>
      </c>
      <c r="F16" s="1077">
        <f t="shared" si="1"/>
        <v>297202.09539999999</v>
      </c>
      <c r="G16" s="1078">
        <f>F16/B33</f>
        <v>62810.849250797808</v>
      </c>
    </row>
    <row r="17" spans="2:7" ht="31.5" customHeight="1" x14ac:dyDescent="0.25">
      <c r="B17" s="898"/>
      <c r="C17" s="899" t="s">
        <v>1892</v>
      </c>
      <c r="D17" s="900">
        <v>116836.69</v>
      </c>
      <c r="E17" s="900">
        <f t="shared" si="0"/>
        <v>22198.971100000002</v>
      </c>
      <c r="F17" s="901">
        <f t="shared" si="1"/>
        <v>139035.6611</v>
      </c>
      <c r="G17" s="1030">
        <f>F17/B33</f>
        <v>29383.870722995962</v>
      </c>
    </row>
    <row r="18" spans="2:7" ht="29.25" customHeight="1" x14ac:dyDescent="0.25">
      <c r="B18" s="898"/>
      <c r="C18" s="899" t="s">
        <v>1878</v>
      </c>
      <c r="D18" s="900">
        <v>132912.97</v>
      </c>
      <c r="E18" s="900">
        <f t="shared" si="0"/>
        <v>25253.4643</v>
      </c>
      <c r="F18" s="901">
        <f t="shared" si="1"/>
        <v>158166.43429999999</v>
      </c>
      <c r="G18" s="1030">
        <f>F18/B33</f>
        <v>33426.978527801846</v>
      </c>
    </row>
    <row r="19" spans="2:7" x14ac:dyDescent="0.25">
      <c r="B19" s="1442" t="s">
        <v>1290</v>
      </c>
      <c r="C19" s="1443"/>
      <c r="D19" s="902">
        <f>SUM(D13:D16)</f>
        <v>2802500.74</v>
      </c>
      <c r="E19" s="905">
        <f t="shared" si="0"/>
        <v>532475.14060000004</v>
      </c>
      <c r="F19" s="903">
        <f t="shared" si="1"/>
        <v>3334975.8806000003</v>
      </c>
      <c r="G19" s="904">
        <f>F19/B33</f>
        <v>704815.58015089715</v>
      </c>
    </row>
    <row r="20" spans="2:7" ht="23.25" customHeight="1" x14ac:dyDescent="0.25">
      <c r="B20" s="898">
        <v>4.2</v>
      </c>
      <c r="C20" s="899" t="s">
        <v>1280</v>
      </c>
      <c r="D20" s="900">
        <v>0</v>
      </c>
      <c r="E20" s="900">
        <f>D20*0.19</f>
        <v>0</v>
      </c>
      <c r="F20" s="901">
        <f>D20+E20</f>
        <v>0</v>
      </c>
      <c r="G20" s="1030">
        <f>F20/B33</f>
        <v>0</v>
      </c>
    </row>
    <row r="21" spans="2:7" x14ac:dyDescent="0.25">
      <c r="B21" s="1442" t="s">
        <v>1291</v>
      </c>
      <c r="C21" s="1443"/>
      <c r="D21" s="905">
        <f>D20</f>
        <v>0</v>
      </c>
      <c r="E21" s="905">
        <f>E20</f>
        <v>0</v>
      </c>
      <c r="F21" s="906">
        <f>F20</f>
        <v>0</v>
      </c>
      <c r="G21" s="907">
        <f>F21/B33</f>
        <v>0</v>
      </c>
    </row>
    <row r="22" spans="2:7" ht="31.5" customHeight="1" x14ac:dyDescent="0.25">
      <c r="B22" s="898">
        <v>4.3</v>
      </c>
      <c r="C22" s="899" t="s">
        <v>1814</v>
      </c>
      <c r="D22" s="1093">
        <v>0</v>
      </c>
      <c r="E22" s="1093">
        <f>D22*0.19</f>
        <v>0</v>
      </c>
      <c r="F22" s="1093">
        <f>D22+E22</f>
        <v>0</v>
      </c>
      <c r="G22" s="1030">
        <f>F22/B33</f>
        <v>0</v>
      </c>
    </row>
    <row r="23" spans="2:7" ht="29.25" customHeight="1" x14ac:dyDescent="0.25">
      <c r="B23" s="898">
        <v>4.4000000000000004</v>
      </c>
      <c r="C23" s="899" t="s">
        <v>1282</v>
      </c>
      <c r="D23" s="1093">
        <v>0</v>
      </c>
      <c r="E23" s="900">
        <f t="shared" ref="E23:E25" si="2">D23*0.19</f>
        <v>0</v>
      </c>
      <c r="F23" s="901">
        <f>D23+E23</f>
        <v>0</v>
      </c>
      <c r="G23" s="1030">
        <f>F23/B33</f>
        <v>0</v>
      </c>
    </row>
    <row r="24" spans="2:7" x14ac:dyDescent="0.25">
      <c r="B24" s="898">
        <v>4.5</v>
      </c>
      <c r="C24" s="899" t="s">
        <v>1864</v>
      </c>
      <c r="D24" s="1093">
        <v>0</v>
      </c>
      <c r="E24" s="900">
        <f t="shared" si="2"/>
        <v>0</v>
      </c>
      <c r="F24" s="901">
        <f>D24+E24</f>
        <v>0</v>
      </c>
      <c r="G24" s="1030">
        <f>F24/B33</f>
        <v>0</v>
      </c>
    </row>
    <row r="25" spans="2:7" x14ac:dyDescent="0.25">
      <c r="B25" s="898">
        <v>4.5999999999999996</v>
      </c>
      <c r="C25" s="899" t="s">
        <v>48</v>
      </c>
      <c r="D25" s="1093">
        <v>0</v>
      </c>
      <c r="E25" s="900">
        <f t="shared" si="2"/>
        <v>0</v>
      </c>
      <c r="F25" s="901">
        <f>D25+E25</f>
        <v>0</v>
      </c>
      <c r="G25" s="1030">
        <f>F25/B33</f>
        <v>0</v>
      </c>
    </row>
    <row r="26" spans="2:7" x14ac:dyDescent="0.25">
      <c r="B26" s="1429" t="s">
        <v>1292</v>
      </c>
      <c r="C26" s="1430"/>
      <c r="D26" s="900">
        <f>SUM(D22:D25)</f>
        <v>0</v>
      </c>
      <c r="E26" s="900">
        <f>SUM(E22:E25)</f>
        <v>0</v>
      </c>
      <c r="F26" s="901">
        <f>SUM(F22:F25)</f>
        <v>0</v>
      </c>
      <c r="G26" s="1094">
        <f>F26/B33</f>
        <v>0</v>
      </c>
    </row>
    <row r="27" spans="2:7" ht="15.75" thickBot="1" x14ac:dyDescent="0.3">
      <c r="B27" s="1431" t="s">
        <v>1293</v>
      </c>
      <c r="C27" s="1432"/>
      <c r="D27" s="908">
        <f>D19+D21+D26</f>
        <v>2802500.74</v>
      </c>
      <c r="E27" s="908">
        <f>E19+E21+E26</f>
        <v>532475.14060000004</v>
      </c>
      <c r="F27" s="909">
        <f>F19+F21+F26</f>
        <v>3334975.8806000003</v>
      </c>
      <c r="G27" s="910">
        <f>F27/B33</f>
        <v>704815.58015089715</v>
      </c>
    </row>
    <row r="28" spans="2:7" x14ac:dyDescent="0.25">
      <c r="B28" s="41"/>
      <c r="C28" s="42"/>
      <c r="D28" s="43"/>
      <c r="E28" s="43"/>
      <c r="F28" s="43"/>
      <c r="G28" s="918"/>
    </row>
    <row r="29" spans="2:7" x14ac:dyDescent="0.25">
      <c r="B29" s="41"/>
      <c r="C29" s="42"/>
      <c r="D29" s="43"/>
      <c r="E29" s="43"/>
      <c r="F29" s="43"/>
      <c r="G29" s="918"/>
    </row>
    <row r="30" spans="2:7" x14ac:dyDescent="0.25">
      <c r="B30" s="919"/>
      <c r="C30" s="918"/>
      <c r="D30" s="1106"/>
      <c r="E30" s="920"/>
      <c r="F30" s="915"/>
      <c r="G30" s="918"/>
    </row>
    <row r="31" spans="2:7" x14ac:dyDescent="0.25">
      <c r="B31" s="1107"/>
      <c r="C31" s="1108"/>
      <c r="D31" s="1109"/>
      <c r="E31" s="1110"/>
      <c r="F31" s="1111"/>
      <c r="G31" s="1112"/>
    </row>
    <row r="32" spans="2:7" ht="15.75" thickBot="1" x14ac:dyDescent="0.3">
      <c r="B32" s="919"/>
      <c r="C32" s="918"/>
      <c r="D32" s="920"/>
      <c r="E32" s="920"/>
      <c r="F32" s="915"/>
      <c r="G32" s="917" t="s">
        <v>1891</v>
      </c>
    </row>
    <row r="33" spans="2:7" ht="15.75" thickBot="1" x14ac:dyDescent="0.3">
      <c r="B33" s="964">
        <v>4.7317</v>
      </c>
      <c r="C33" s="963" t="s">
        <v>1865</v>
      </c>
      <c r="D33" s="43"/>
      <c r="E33" s="43"/>
      <c r="G33" s="916" t="str">
        <f>'DG-cap3'!I37</f>
        <v>ing. Parlapan Răzvan Gabriel</v>
      </c>
    </row>
    <row r="34" spans="2:7" x14ac:dyDescent="0.25">
      <c r="B34" s="41"/>
      <c r="C34" s="42"/>
      <c r="D34" s="43"/>
      <c r="E34" s="43"/>
      <c r="G34" s="45"/>
    </row>
    <row r="35" spans="2:7" x14ac:dyDescent="0.25">
      <c r="G35" s="911"/>
    </row>
  </sheetData>
  <mergeCells count="9">
    <mergeCell ref="B26:C26"/>
    <mergeCell ref="B27:C27"/>
    <mergeCell ref="B1:G1"/>
    <mergeCell ref="B4:G5"/>
    <mergeCell ref="B8:B9"/>
    <mergeCell ref="C8:C9"/>
    <mergeCell ref="B11:G11"/>
    <mergeCell ref="B19:C19"/>
    <mergeCell ref="B21:C21"/>
  </mergeCells>
  <pageMargins left="0.7" right="0.7" top="0.75" bottom="0.75" header="0.3" footer="0.3"/>
  <pageSetup paperSize="9" scale="68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  <pageSetUpPr fitToPage="1"/>
  </sheetPr>
  <dimension ref="A1:N301"/>
  <sheetViews>
    <sheetView view="pageBreakPreview" zoomScale="80" zoomScaleNormal="70" zoomScaleSheetLayoutView="80" workbookViewId="0">
      <selection activeCell="C23" sqref="C23"/>
    </sheetView>
  </sheetViews>
  <sheetFormatPr defaultColWidth="10.7109375" defaultRowHeight="12.75" x14ac:dyDescent="0.25"/>
  <cols>
    <col min="1" max="1" width="10.7109375" style="360" customWidth="1"/>
    <col min="2" max="2" width="25.7109375" style="360" customWidth="1"/>
    <col min="3" max="3" width="8.42578125" style="374" customWidth="1"/>
    <col min="4" max="4" width="15.7109375" style="785" customWidth="1"/>
    <col min="5" max="6" width="12.7109375" style="375" customWidth="1"/>
    <col min="7" max="7" width="31.85546875" style="360" hidden="1" customWidth="1"/>
    <col min="8" max="8" width="50.7109375" style="373" customWidth="1"/>
    <col min="9" max="253" width="10.7109375" style="360"/>
    <col min="254" max="254" width="13.140625" style="360" customWidth="1"/>
    <col min="255" max="255" width="38" style="360" customWidth="1"/>
    <col min="256" max="256" width="8.42578125" style="360" customWidth="1"/>
    <col min="257" max="257" width="15.7109375" style="360" customWidth="1"/>
    <col min="258" max="258" width="18.28515625" style="360" customWidth="1"/>
    <col min="259" max="259" width="17.85546875" style="360" customWidth="1"/>
    <col min="260" max="260" width="0" style="360" hidden="1" customWidth="1"/>
    <col min="261" max="261" width="33.28515625" style="360" customWidth="1"/>
    <col min="262" max="509" width="10.7109375" style="360"/>
    <col min="510" max="510" width="13.140625" style="360" customWidth="1"/>
    <col min="511" max="511" width="38" style="360" customWidth="1"/>
    <col min="512" max="512" width="8.42578125" style="360" customWidth="1"/>
    <col min="513" max="513" width="15.7109375" style="360" customWidth="1"/>
    <col min="514" max="514" width="18.28515625" style="360" customWidth="1"/>
    <col min="515" max="515" width="17.85546875" style="360" customWidth="1"/>
    <col min="516" max="516" width="0" style="360" hidden="1" customWidth="1"/>
    <col min="517" max="517" width="33.28515625" style="360" customWidth="1"/>
    <col min="518" max="765" width="10.7109375" style="360"/>
    <col min="766" max="766" width="13.140625" style="360" customWidth="1"/>
    <col min="767" max="767" width="38" style="360" customWidth="1"/>
    <col min="768" max="768" width="8.42578125" style="360" customWidth="1"/>
    <col min="769" max="769" width="15.7109375" style="360" customWidth="1"/>
    <col min="770" max="770" width="18.28515625" style="360" customWidth="1"/>
    <col min="771" max="771" width="17.85546875" style="360" customWidth="1"/>
    <col min="772" max="772" width="0" style="360" hidden="1" customWidth="1"/>
    <col min="773" max="773" width="33.28515625" style="360" customWidth="1"/>
    <col min="774" max="1021" width="10.7109375" style="360"/>
    <col min="1022" max="1022" width="13.140625" style="360" customWidth="1"/>
    <col min="1023" max="1023" width="38" style="360" customWidth="1"/>
    <col min="1024" max="1024" width="8.42578125" style="360" customWidth="1"/>
    <col min="1025" max="1025" width="15.7109375" style="360" customWidth="1"/>
    <col min="1026" max="1026" width="18.28515625" style="360" customWidth="1"/>
    <col min="1027" max="1027" width="17.85546875" style="360" customWidth="1"/>
    <col min="1028" max="1028" width="0" style="360" hidden="1" customWidth="1"/>
    <col min="1029" max="1029" width="33.28515625" style="360" customWidth="1"/>
    <col min="1030" max="1277" width="10.7109375" style="360"/>
    <col min="1278" max="1278" width="13.140625" style="360" customWidth="1"/>
    <col min="1279" max="1279" width="38" style="360" customWidth="1"/>
    <col min="1280" max="1280" width="8.42578125" style="360" customWidth="1"/>
    <col min="1281" max="1281" width="15.7109375" style="360" customWidth="1"/>
    <col min="1282" max="1282" width="18.28515625" style="360" customWidth="1"/>
    <col min="1283" max="1283" width="17.85546875" style="360" customWidth="1"/>
    <col min="1284" max="1284" width="0" style="360" hidden="1" customWidth="1"/>
    <col min="1285" max="1285" width="33.28515625" style="360" customWidth="1"/>
    <col min="1286" max="1533" width="10.7109375" style="360"/>
    <col min="1534" max="1534" width="13.140625" style="360" customWidth="1"/>
    <col min="1535" max="1535" width="38" style="360" customWidth="1"/>
    <col min="1536" max="1536" width="8.42578125" style="360" customWidth="1"/>
    <col min="1537" max="1537" width="15.7109375" style="360" customWidth="1"/>
    <col min="1538" max="1538" width="18.28515625" style="360" customWidth="1"/>
    <col min="1539" max="1539" width="17.85546875" style="360" customWidth="1"/>
    <col min="1540" max="1540" width="0" style="360" hidden="1" customWidth="1"/>
    <col min="1541" max="1541" width="33.28515625" style="360" customWidth="1"/>
    <col min="1542" max="1789" width="10.7109375" style="360"/>
    <col min="1790" max="1790" width="13.140625" style="360" customWidth="1"/>
    <col min="1791" max="1791" width="38" style="360" customWidth="1"/>
    <col min="1792" max="1792" width="8.42578125" style="360" customWidth="1"/>
    <col min="1793" max="1793" width="15.7109375" style="360" customWidth="1"/>
    <col min="1794" max="1794" width="18.28515625" style="360" customWidth="1"/>
    <col min="1795" max="1795" width="17.85546875" style="360" customWidth="1"/>
    <col min="1796" max="1796" width="0" style="360" hidden="1" customWidth="1"/>
    <col min="1797" max="1797" width="33.28515625" style="360" customWidth="1"/>
    <col min="1798" max="2045" width="10.7109375" style="360"/>
    <col min="2046" max="2046" width="13.140625" style="360" customWidth="1"/>
    <col min="2047" max="2047" width="38" style="360" customWidth="1"/>
    <col min="2048" max="2048" width="8.42578125" style="360" customWidth="1"/>
    <col min="2049" max="2049" width="15.7109375" style="360" customWidth="1"/>
    <col min="2050" max="2050" width="18.28515625" style="360" customWidth="1"/>
    <col min="2051" max="2051" width="17.85546875" style="360" customWidth="1"/>
    <col min="2052" max="2052" width="0" style="360" hidden="1" customWidth="1"/>
    <col min="2053" max="2053" width="33.28515625" style="360" customWidth="1"/>
    <col min="2054" max="2301" width="10.7109375" style="360"/>
    <col min="2302" max="2302" width="13.140625" style="360" customWidth="1"/>
    <col min="2303" max="2303" width="38" style="360" customWidth="1"/>
    <col min="2304" max="2304" width="8.42578125" style="360" customWidth="1"/>
    <col min="2305" max="2305" width="15.7109375" style="360" customWidth="1"/>
    <col min="2306" max="2306" width="18.28515625" style="360" customWidth="1"/>
    <col min="2307" max="2307" width="17.85546875" style="360" customWidth="1"/>
    <col min="2308" max="2308" width="0" style="360" hidden="1" customWidth="1"/>
    <col min="2309" max="2309" width="33.28515625" style="360" customWidth="1"/>
    <col min="2310" max="2557" width="10.7109375" style="360"/>
    <col min="2558" max="2558" width="13.140625" style="360" customWidth="1"/>
    <col min="2559" max="2559" width="38" style="360" customWidth="1"/>
    <col min="2560" max="2560" width="8.42578125" style="360" customWidth="1"/>
    <col min="2561" max="2561" width="15.7109375" style="360" customWidth="1"/>
    <col min="2562" max="2562" width="18.28515625" style="360" customWidth="1"/>
    <col min="2563" max="2563" width="17.85546875" style="360" customWidth="1"/>
    <col min="2564" max="2564" width="0" style="360" hidden="1" customWidth="1"/>
    <col min="2565" max="2565" width="33.28515625" style="360" customWidth="1"/>
    <col min="2566" max="2813" width="10.7109375" style="360"/>
    <col min="2814" max="2814" width="13.140625" style="360" customWidth="1"/>
    <col min="2815" max="2815" width="38" style="360" customWidth="1"/>
    <col min="2816" max="2816" width="8.42578125" style="360" customWidth="1"/>
    <col min="2817" max="2817" width="15.7109375" style="360" customWidth="1"/>
    <col min="2818" max="2818" width="18.28515625" style="360" customWidth="1"/>
    <col min="2819" max="2819" width="17.85546875" style="360" customWidth="1"/>
    <col min="2820" max="2820" width="0" style="360" hidden="1" customWidth="1"/>
    <col min="2821" max="2821" width="33.28515625" style="360" customWidth="1"/>
    <col min="2822" max="3069" width="10.7109375" style="360"/>
    <col min="3070" max="3070" width="13.140625" style="360" customWidth="1"/>
    <col min="3071" max="3071" width="38" style="360" customWidth="1"/>
    <col min="3072" max="3072" width="8.42578125" style="360" customWidth="1"/>
    <col min="3073" max="3073" width="15.7109375" style="360" customWidth="1"/>
    <col min="3074" max="3074" width="18.28515625" style="360" customWidth="1"/>
    <col min="3075" max="3075" width="17.85546875" style="360" customWidth="1"/>
    <col min="3076" max="3076" width="0" style="360" hidden="1" customWidth="1"/>
    <col min="3077" max="3077" width="33.28515625" style="360" customWidth="1"/>
    <col min="3078" max="3325" width="10.7109375" style="360"/>
    <col min="3326" max="3326" width="13.140625" style="360" customWidth="1"/>
    <col min="3327" max="3327" width="38" style="360" customWidth="1"/>
    <col min="3328" max="3328" width="8.42578125" style="360" customWidth="1"/>
    <col min="3329" max="3329" width="15.7109375" style="360" customWidth="1"/>
    <col min="3330" max="3330" width="18.28515625" style="360" customWidth="1"/>
    <col min="3331" max="3331" width="17.85546875" style="360" customWidth="1"/>
    <col min="3332" max="3332" width="0" style="360" hidden="1" customWidth="1"/>
    <col min="3333" max="3333" width="33.28515625" style="360" customWidth="1"/>
    <col min="3334" max="3581" width="10.7109375" style="360"/>
    <col min="3582" max="3582" width="13.140625" style="360" customWidth="1"/>
    <col min="3583" max="3583" width="38" style="360" customWidth="1"/>
    <col min="3584" max="3584" width="8.42578125" style="360" customWidth="1"/>
    <col min="3585" max="3585" width="15.7109375" style="360" customWidth="1"/>
    <col min="3586" max="3586" width="18.28515625" style="360" customWidth="1"/>
    <col min="3587" max="3587" width="17.85546875" style="360" customWidth="1"/>
    <col min="3588" max="3588" width="0" style="360" hidden="1" customWidth="1"/>
    <col min="3589" max="3589" width="33.28515625" style="360" customWidth="1"/>
    <col min="3590" max="3837" width="10.7109375" style="360"/>
    <col min="3838" max="3838" width="13.140625" style="360" customWidth="1"/>
    <col min="3839" max="3839" width="38" style="360" customWidth="1"/>
    <col min="3840" max="3840" width="8.42578125" style="360" customWidth="1"/>
    <col min="3841" max="3841" width="15.7109375" style="360" customWidth="1"/>
    <col min="3842" max="3842" width="18.28515625" style="360" customWidth="1"/>
    <col min="3843" max="3843" width="17.85546875" style="360" customWidth="1"/>
    <col min="3844" max="3844" width="0" style="360" hidden="1" customWidth="1"/>
    <col min="3845" max="3845" width="33.28515625" style="360" customWidth="1"/>
    <col min="3846" max="4093" width="10.7109375" style="360"/>
    <col min="4094" max="4094" width="13.140625" style="360" customWidth="1"/>
    <col min="4095" max="4095" width="38" style="360" customWidth="1"/>
    <col min="4096" max="4096" width="8.42578125" style="360" customWidth="1"/>
    <col min="4097" max="4097" width="15.7109375" style="360" customWidth="1"/>
    <col min="4098" max="4098" width="18.28515625" style="360" customWidth="1"/>
    <col min="4099" max="4099" width="17.85546875" style="360" customWidth="1"/>
    <col min="4100" max="4100" width="0" style="360" hidden="1" customWidth="1"/>
    <col min="4101" max="4101" width="33.28515625" style="360" customWidth="1"/>
    <col min="4102" max="4349" width="10.7109375" style="360"/>
    <col min="4350" max="4350" width="13.140625" style="360" customWidth="1"/>
    <col min="4351" max="4351" width="38" style="360" customWidth="1"/>
    <col min="4352" max="4352" width="8.42578125" style="360" customWidth="1"/>
    <col min="4353" max="4353" width="15.7109375" style="360" customWidth="1"/>
    <col min="4354" max="4354" width="18.28515625" style="360" customWidth="1"/>
    <col min="4355" max="4355" width="17.85546875" style="360" customWidth="1"/>
    <col min="4356" max="4356" width="0" style="360" hidden="1" customWidth="1"/>
    <col min="4357" max="4357" width="33.28515625" style="360" customWidth="1"/>
    <col min="4358" max="4605" width="10.7109375" style="360"/>
    <col min="4606" max="4606" width="13.140625" style="360" customWidth="1"/>
    <col min="4607" max="4607" width="38" style="360" customWidth="1"/>
    <col min="4608" max="4608" width="8.42578125" style="360" customWidth="1"/>
    <col min="4609" max="4609" width="15.7109375" style="360" customWidth="1"/>
    <col min="4610" max="4610" width="18.28515625" style="360" customWidth="1"/>
    <col min="4611" max="4611" width="17.85546875" style="360" customWidth="1"/>
    <col min="4612" max="4612" width="0" style="360" hidden="1" customWidth="1"/>
    <col min="4613" max="4613" width="33.28515625" style="360" customWidth="1"/>
    <col min="4614" max="4861" width="10.7109375" style="360"/>
    <col min="4862" max="4862" width="13.140625" style="360" customWidth="1"/>
    <col min="4863" max="4863" width="38" style="360" customWidth="1"/>
    <col min="4864" max="4864" width="8.42578125" style="360" customWidth="1"/>
    <col min="4865" max="4865" width="15.7109375" style="360" customWidth="1"/>
    <col min="4866" max="4866" width="18.28515625" style="360" customWidth="1"/>
    <col min="4867" max="4867" width="17.85546875" style="360" customWidth="1"/>
    <col min="4868" max="4868" width="0" style="360" hidden="1" customWidth="1"/>
    <col min="4869" max="4869" width="33.28515625" style="360" customWidth="1"/>
    <col min="4870" max="5117" width="10.7109375" style="360"/>
    <col min="5118" max="5118" width="13.140625" style="360" customWidth="1"/>
    <col min="5119" max="5119" width="38" style="360" customWidth="1"/>
    <col min="5120" max="5120" width="8.42578125" style="360" customWidth="1"/>
    <col min="5121" max="5121" width="15.7109375" style="360" customWidth="1"/>
    <col min="5122" max="5122" width="18.28515625" style="360" customWidth="1"/>
    <col min="5123" max="5123" width="17.85546875" style="360" customWidth="1"/>
    <col min="5124" max="5124" width="0" style="360" hidden="1" customWidth="1"/>
    <col min="5125" max="5125" width="33.28515625" style="360" customWidth="1"/>
    <col min="5126" max="5373" width="10.7109375" style="360"/>
    <col min="5374" max="5374" width="13.140625" style="360" customWidth="1"/>
    <col min="5375" max="5375" width="38" style="360" customWidth="1"/>
    <col min="5376" max="5376" width="8.42578125" style="360" customWidth="1"/>
    <col min="5377" max="5377" width="15.7109375" style="360" customWidth="1"/>
    <col min="5378" max="5378" width="18.28515625" style="360" customWidth="1"/>
    <col min="5379" max="5379" width="17.85546875" style="360" customWidth="1"/>
    <col min="5380" max="5380" width="0" style="360" hidden="1" customWidth="1"/>
    <col min="5381" max="5381" width="33.28515625" style="360" customWidth="1"/>
    <col min="5382" max="5629" width="10.7109375" style="360"/>
    <col min="5630" max="5630" width="13.140625" style="360" customWidth="1"/>
    <col min="5631" max="5631" width="38" style="360" customWidth="1"/>
    <col min="5632" max="5632" width="8.42578125" style="360" customWidth="1"/>
    <col min="5633" max="5633" width="15.7109375" style="360" customWidth="1"/>
    <col min="5634" max="5634" width="18.28515625" style="360" customWidth="1"/>
    <col min="5635" max="5635" width="17.85546875" style="360" customWidth="1"/>
    <col min="5636" max="5636" width="0" style="360" hidden="1" customWidth="1"/>
    <col min="5637" max="5637" width="33.28515625" style="360" customWidth="1"/>
    <col min="5638" max="5885" width="10.7109375" style="360"/>
    <col min="5886" max="5886" width="13.140625" style="360" customWidth="1"/>
    <col min="5887" max="5887" width="38" style="360" customWidth="1"/>
    <col min="5888" max="5888" width="8.42578125" style="360" customWidth="1"/>
    <col min="5889" max="5889" width="15.7109375" style="360" customWidth="1"/>
    <col min="5890" max="5890" width="18.28515625" style="360" customWidth="1"/>
    <col min="5891" max="5891" width="17.85546875" style="360" customWidth="1"/>
    <col min="5892" max="5892" width="0" style="360" hidden="1" customWidth="1"/>
    <col min="5893" max="5893" width="33.28515625" style="360" customWidth="1"/>
    <col min="5894" max="6141" width="10.7109375" style="360"/>
    <col min="6142" max="6142" width="13.140625" style="360" customWidth="1"/>
    <col min="6143" max="6143" width="38" style="360" customWidth="1"/>
    <col min="6144" max="6144" width="8.42578125" style="360" customWidth="1"/>
    <col min="6145" max="6145" width="15.7109375" style="360" customWidth="1"/>
    <col min="6146" max="6146" width="18.28515625" style="360" customWidth="1"/>
    <col min="6147" max="6147" width="17.85546875" style="360" customWidth="1"/>
    <col min="6148" max="6148" width="0" style="360" hidden="1" customWidth="1"/>
    <col min="6149" max="6149" width="33.28515625" style="360" customWidth="1"/>
    <col min="6150" max="6397" width="10.7109375" style="360"/>
    <col min="6398" max="6398" width="13.140625" style="360" customWidth="1"/>
    <col min="6399" max="6399" width="38" style="360" customWidth="1"/>
    <col min="6400" max="6400" width="8.42578125" style="360" customWidth="1"/>
    <col min="6401" max="6401" width="15.7109375" style="360" customWidth="1"/>
    <col min="6402" max="6402" width="18.28515625" style="360" customWidth="1"/>
    <col min="6403" max="6403" width="17.85546875" style="360" customWidth="1"/>
    <col min="6404" max="6404" width="0" style="360" hidden="1" customWidth="1"/>
    <col min="6405" max="6405" width="33.28515625" style="360" customWidth="1"/>
    <col min="6406" max="6653" width="10.7109375" style="360"/>
    <col min="6654" max="6654" width="13.140625" style="360" customWidth="1"/>
    <col min="6655" max="6655" width="38" style="360" customWidth="1"/>
    <col min="6656" max="6656" width="8.42578125" style="360" customWidth="1"/>
    <col min="6657" max="6657" width="15.7109375" style="360" customWidth="1"/>
    <col min="6658" max="6658" width="18.28515625" style="360" customWidth="1"/>
    <col min="6659" max="6659" width="17.85546875" style="360" customWidth="1"/>
    <col min="6660" max="6660" width="0" style="360" hidden="1" customWidth="1"/>
    <col min="6661" max="6661" width="33.28515625" style="360" customWidth="1"/>
    <col min="6662" max="6909" width="10.7109375" style="360"/>
    <col min="6910" max="6910" width="13.140625" style="360" customWidth="1"/>
    <col min="6911" max="6911" width="38" style="360" customWidth="1"/>
    <col min="6912" max="6912" width="8.42578125" style="360" customWidth="1"/>
    <col min="6913" max="6913" width="15.7109375" style="360" customWidth="1"/>
    <col min="6914" max="6914" width="18.28515625" style="360" customWidth="1"/>
    <col min="6915" max="6915" width="17.85546875" style="360" customWidth="1"/>
    <col min="6916" max="6916" width="0" style="360" hidden="1" customWidth="1"/>
    <col min="6917" max="6917" width="33.28515625" style="360" customWidth="1"/>
    <col min="6918" max="7165" width="10.7109375" style="360"/>
    <col min="7166" max="7166" width="13.140625" style="360" customWidth="1"/>
    <col min="7167" max="7167" width="38" style="360" customWidth="1"/>
    <col min="7168" max="7168" width="8.42578125" style="360" customWidth="1"/>
    <col min="7169" max="7169" width="15.7109375" style="360" customWidth="1"/>
    <col min="7170" max="7170" width="18.28515625" style="360" customWidth="1"/>
    <col min="7171" max="7171" width="17.85546875" style="360" customWidth="1"/>
    <col min="7172" max="7172" width="0" style="360" hidden="1" customWidth="1"/>
    <col min="7173" max="7173" width="33.28515625" style="360" customWidth="1"/>
    <col min="7174" max="7421" width="10.7109375" style="360"/>
    <col min="7422" max="7422" width="13.140625" style="360" customWidth="1"/>
    <col min="7423" max="7423" width="38" style="360" customWidth="1"/>
    <col min="7424" max="7424" width="8.42578125" style="360" customWidth="1"/>
    <col min="7425" max="7425" width="15.7109375" style="360" customWidth="1"/>
    <col min="7426" max="7426" width="18.28515625" style="360" customWidth="1"/>
    <col min="7427" max="7427" width="17.85546875" style="360" customWidth="1"/>
    <col min="7428" max="7428" width="0" style="360" hidden="1" customWidth="1"/>
    <col min="7429" max="7429" width="33.28515625" style="360" customWidth="1"/>
    <col min="7430" max="7677" width="10.7109375" style="360"/>
    <col min="7678" max="7678" width="13.140625" style="360" customWidth="1"/>
    <col min="7679" max="7679" width="38" style="360" customWidth="1"/>
    <col min="7680" max="7680" width="8.42578125" style="360" customWidth="1"/>
    <col min="7681" max="7681" width="15.7109375" style="360" customWidth="1"/>
    <col min="7682" max="7682" width="18.28515625" style="360" customWidth="1"/>
    <col min="7683" max="7683" width="17.85546875" style="360" customWidth="1"/>
    <col min="7684" max="7684" width="0" style="360" hidden="1" customWidth="1"/>
    <col min="7685" max="7685" width="33.28515625" style="360" customWidth="1"/>
    <col min="7686" max="7933" width="10.7109375" style="360"/>
    <col min="7934" max="7934" width="13.140625" style="360" customWidth="1"/>
    <col min="7935" max="7935" width="38" style="360" customWidth="1"/>
    <col min="7936" max="7936" width="8.42578125" style="360" customWidth="1"/>
    <col min="7937" max="7937" width="15.7109375" style="360" customWidth="1"/>
    <col min="7938" max="7938" width="18.28515625" style="360" customWidth="1"/>
    <col min="7939" max="7939" width="17.85546875" style="360" customWidth="1"/>
    <col min="7940" max="7940" width="0" style="360" hidden="1" customWidth="1"/>
    <col min="7941" max="7941" width="33.28515625" style="360" customWidth="1"/>
    <col min="7942" max="8189" width="10.7109375" style="360"/>
    <col min="8190" max="8190" width="13.140625" style="360" customWidth="1"/>
    <col min="8191" max="8191" width="38" style="360" customWidth="1"/>
    <col min="8192" max="8192" width="8.42578125" style="360" customWidth="1"/>
    <col min="8193" max="8193" width="15.7109375" style="360" customWidth="1"/>
    <col min="8194" max="8194" width="18.28515625" style="360" customWidth="1"/>
    <col min="8195" max="8195" width="17.85546875" style="360" customWidth="1"/>
    <col min="8196" max="8196" width="0" style="360" hidden="1" customWidth="1"/>
    <col min="8197" max="8197" width="33.28515625" style="360" customWidth="1"/>
    <col min="8198" max="8445" width="10.7109375" style="360"/>
    <col min="8446" max="8446" width="13.140625" style="360" customWidth="1"/>
    <col min="8447" max="8447" width="38" style="360" customWidth="1"/>
    <col min="8448" max="8448" width="8.42578125" style="360" customWidth="1"/>
    <col min="8449" max="8449" width="15.7109375" style="360" customWidth="1"/>
    <col min="8450" max="8450" width="18.28515625" style="360" customWidth="1"/>
    <col min="8451" max="8451" width="17.85546875" style="360" customWidth="1"/>
    <col min="8452" max="8452" width="0" style="360" hidden="1" customWidth="1"/>
    <col min="8453" max="8453" width="33.28515625" style="360" customWidth="1"/>
    <col min="8454" max="8701" width="10.7109375" style="360"/>
    <col min="8702" max="8702" width="13.140625" style="360" customWidth="1"/>
    <col min="8703" max="8703" width="38" style="360" customWidth="1"/>
    <col min="8704" max="8704" width="8.42578125" style="360" customWidth="1"/>
    <col min="8705" max="8705" width="15.7109375" style="360" customWidth="1"/>
    <col min="8706" max="8706" width="18.28515625" style="360" customWidth="1"/>
    <col min="8707" max="8707" width="17.85546875" style="360" customWidth="1"/>
    <col min="8708" max="8708" width="0" style="360" hidden="1" customWidth="1"/>
    <col min="8709" max="8709" width="33.28515625" style="360" customWidth="1"/>
    <col min="8710" max="8957" width="10.7109375" style="360"/>
    <col min="8958" max="8958" width="13.140625" style="360" customWidth="1"/>
    <col min="8959" max="8959" width="38" style="360" customWidth="1"/>
    <col min="8960" max="8960" width="8.42578125" style="360" customWidth="1"/>
    <col min="8961" max="8961" width="15.7109375" style="360" customWidth="1"/>
    <col min="8962" max="8962" width="18.28515625" style="360" customWidth="1"/>
    <col min="8963" max="8963" width="17.85546875" style="360" customWidth="1"/>
    <col min="8964" max="8964" width="0" style="360" hidden="1" customWidth="1"/>
    <col min="8965" max="8965" width="33.28515625" style="360" customWidth="1"/>
    <col min="8966" max="9213" width="10.7109375" style="360"/>
    <col min="9214" max="9214" width="13.140625" style="360" customWidth="1"/>
    <col min="9215" max="9215" width="38" style="360" customWidth="1"/>
    <col min="9216" max="9216" width="8.42578125" style="360" customWidth="1"/>
    <col min="9217" max="9217" width="15.7109375" style="360" customWidth="1"/>
    <col min="9218" max="9218" width="18.28515625" style="360" customWidth="1"/>
    <col min="9219" max="9219" width="17.85546875" style="360" customWidth="1"/>
    <col min="9220" max="9220" width="0" style="360" hidden="1" customWidth="1"/>
    <col min="9221" max="9221" width="33.28515625" style="360" customWidth="1"/>
    <col min="9222" max="9469" width="10.7109375" style="360"/>
    <col min="9470" max="9470" width="13.140625" style="360" customWidth="1"/>
    <col min="9471" max="9471" width="38" style="360" customWidth="1"/>
    <col min="9472" max="9472" width="8.42578125" style="360" customWidth="1"/>
    <col min="9473" max="9473" width="15.7109375" style="360" customWidth="1"/>
    <col min="9474" max="9474" width="18.28515625" style="360" customWidth="1"/>
    <col min="9475" max="9475" width="17.85546875" style="360" customWidth="1"/>
    <col min="9476" max="9476" width="0" style="360" hidden="1" customWidth="1"/>
    <col min="9477" max="9477" width="33.28515625" style="360" customWidth="1"/>
    <col min="9478" max="9725" width="10.7109375" style="360"/>
    <col min="9726" max="9726" width="13.140625" style="360" customWidth="1"/>
    <col min="9727" max="9727" width="38" style="360" customWidth="1"/>
    <col min="9728" max="9728" width="8.42578125" style="360" customWidth="1"/>
    <col min="9729" max="9729" width="15.7109375" style="360" customWidth="1"/>
    <col min="9730" max="9730" width="18.28515625" style="360" customWidth="1"/>
    <col min="9731" max="9731" width="17.85546875" style="360" customWidth="1"/>
    <col min="9732" max="9732" width="0" style="360" hidden="1" customWidth="1"/>
    <col min="9733" max="9733" width="33.28515625" style="360" customWidth="1"/>
    <col min="9734" max="9981" width="10.7109375" style="360"/>
    <col min="9982" max="9982" width="13.140625" style="360" customWidth="1"/>
    <col min="9983" max="9983" width="38" style="360" customWidth="1"/>
    <col min="9984" max="9984" width="8.42578125" style="360" customWidth="1"/>
    <col min="9985" max="9985" width="15.7109375" style="360" customWidth="1"/>
    <col min="9986" max="9986" width="18.28515625" style="360" customWidth="1"/>
    <col min="9987" max="9987" width="17.85546875" style="360" customWidth="1"/>
    <col min="9988" max="9988" width="0" style="360" hidden="1" customWidth="1"/>
    <col min="9989" max="9989" width="33.28515625" style="360" customWidth="1"/>
    <col min="9990" max="10237" width="10.7109375" style="360"/>
    <col min="10238" max="10238" width="13.140625" style="360" customWidth="1"/>
    <col min="10239" max="10239" width="38" style="360" customWidth="1"/>
    <col min="10240" max="10240" width="8.42578125" style="360" customWidth="1"/>
    <col min="10241" max="10241" width="15.7109375" style="360" customWidth="1"/>
    <col min="10242" max="10242" width="18.28515625" style="360" customWidth="1"/>
    <col min="10243" max="10243" width="17.85546875" style="360" customWidth="1"/>
    <col min="10244" max="10244" width="0" style="360" hidden="1" customWidth="1"/>
    <col min="10245" max="10245" width="33.28515625" style="360" customWidth="1"/>
    <col min="10246" max="10493" width="10.7109375" style="360"/>
    <col min="10494" max="10494" width="13.140625" style="360" customWidth="1"/>
    <col min="10495" max="10495" width="38" style="360" customWidth="1"/>
    <col min="10496" max="10496" width="8.42578125" style="360" customWidth="1"/>
    <col min="10497" max="10497" width="15.7109375" style="360" customWidth="1"/>
    <col min="10498" max="10498" width="18.28515625" style="360" customWidth="1"/>
    <col min="10499" max="10499" width="17.85546875" style="360" customWidth="1"/>
    <col min="10500" max="10500" width="0" style="360" hidden="1" customWidth="1"/>
    <col min="10501" max="10501" width="33.28515625" style="360" customWidth="1"/>
    <col min="10502" max="10749" width="10.7109375" style="360"/>
    <col min="10750" max="10750" width="13.140625" style="360" customWidth="1"/>
    <col min="10751" max="10751" width="38" style="360" customWidth="1"/>
    <col min="10752" max="10752" width="8.42578125" style="360" customWidth="1"/>
    <col min="10753" max="10753" width="15.7109375" style="360" customWidth="1"/>
    <col min="10754" max="10754" width="18.28515625" style="360" customWidth="1"/>
    <col min="10755" max="10755" width="17.85546875" style="360" customWidth="1"/>
    <col min="10756" max="10756" width="0" style="360" hidden="1" customWidth="1"/>
    <col min="10757" max="10757" width="33.28515625" style="360" customWidth="1"/>
    <col min="10758" max="11005" width="10.7109375" style="360"/>
    <col min="11006" max="11006" width="13.140625" style="360" customWidth="1"/>
    <col min="11007" max="11007" width="38" style="360" customWidth="1"/>
    <col min="11008" max="11008" width="8.42578125" style="360" customWidth="1"/>
    <col min="11009" max="11009" width="15.7109375" style="360" customWidth="1"/>
    <col min="11010" max="11010" width="18.28515625" style="360" customWidth="1"/>
    <col min="11011" max="11011" width="17.85546875" style="360" customWidth="1"/>
    <col min="11012" max="11012" width="0" style="360" hidden="1" customWidth="1"/>
    <col min="11013" max="11013" width="33.28515625" style="360" customWidth="1"/>
    <col min="11014" max="11261" width="10.7109375" style="360"/>
    <col min="11262" max="11262" width="13.140625" style="360" customWidth="1"/>
    <col min="11263" max="11263" width="38" style="360" customWidth="1"/>
    <col min="11264" max="11264" width="8.42578125" style="360" customWidth="1"/>
    <col min="11265" max="11265" width="15.7109375" style="360" customWidth="1"/>
    <col min="11266" max="11266" width="18.28515625" style="360" customWidth="1"/>
    <col min="11267" max="11267" width="17.85546875" style="360" customWidth="1"/>
    <col min="11268" max="11268" width="0" style="360" hidden="1" customWidth="1"/>
    <col min="11269" max="11269" width="33.28515625" style="360" customWidth="1"/>
    <col min="11270" max="11517" width="10.7109375" style="360"/>
    <col min="11518" max="11518" width="13.140625" style="360" customWidth="1"/>
    <col min="11519" max="11519" width="38" style="360" customWidth="1"/>
    <col min="11520" max="11520" width="8.42578125" style="360" customWidth="1"/>
    <col min="11521" max="11521" width="15.7109375" style="360" customWidth="1"/>
    <col min="11522" max="11522" width="18.28515625" style="360" customWidth="1"/>
    <col min="11523" max="11523" width="17.85546875" style="360" customWidth="1"/>
    <col min="11524" max="11524" width="0" style="360" hidden="1" customWidth="1"/>
    <col min="11525" max="11525" width="33.28515625" style="360" customWidth="1"/>
    <col min="11526" max="11773" width="10.7109375" style="360"/>
    <col min="11774" max="11774" width="13.140625" style="360" customWidth="1"/>
    <col min="11775" max="11775" width="38" style="360" customWidth="1"/>
    <col min="11776" max="11776" width="8.42578125" style="360" customWidth="1"/>
    <col min="11777" max="11777" width="15.7109375" style="360" customWidth="1"/>
    <col min="11778" max="11778" width="18.28515625" style="360" customWidth="1"/>
    <col min="11779" max="11779" width="17.85546875" style="360" customWidth="1"/>
    <col min="11780" max="11780" width="0" style="360" hidden="1" customWidth="1"/>
    <col min="11781" max="11781" width="33.28515625" style="360" customWidth="1"/>
    <col min="11782" max="12029" width="10.7109375" style="360"/>
    <col min="12030" max="12030" width="13.140625" style="360" customWidth="1"/>
    <col min="12031" max="12031" width="38" style="360" customWidth="1"/>
    <col min="12032" max="12032" width="8.42578125" style="360" customWidth="1"/>
    <col min="12033" max="12033" width="15.7109375" style="360" customWidth="1"/>
    <col min="12034" max="12034" width="18.28515625" style="360" customWidth="1"/>
    <col min="12035" max="12035" width="17.85546875" style="360" customWidth="1"/>
    <col min="12036" max="12036" width="0" style="360" hidden="1" customWidth="1"/>
    <col min="12037" max="12037" width="33.28515625" style="360" customWidth="1"/>
    <col min="12038" max="12285" width="10.7109375" style="360"/>
    <col min="12286" max="12286" width="13.140625" style="360" customWidth="1"/>
    <col min="12287" max="12287" width="38" style="360" customWidth="1"/>
    <col min="12288" max="12288" width="8.42578125" style="360" customWidth="1"/>
    <col min="12289" max="12289" width="15.7109375" style="360" customWidth="1"/>
    <col min="12290" max="12290" width="18.28515625" style="360" customWidth="1"/>
    <col min="12291" max="12291" width="17.85546875" style="360" customWidth="1"/>
    <col min="12292" max="12292" width="0" style="360" hidden="1" customWidth="1"/>
    <col min="12293" max="12293" width="33.28515625" style="360" customWidth="1"/>
    <col min="12294" max="12541" width="10.7109375" style="360"/>
    <col min="12542" max="12542" width="13.140625" style="360" customWidth="1"/>
    <col min="12543" max="12543" width="38" style="360" customWidth="1"/>
    <col min="12544" max="12544" width="8.42578125" style="360" customWidth="1"/>
    <col min="12545" max="12545" width="15.7109375" style="360" customWidth="1"/>
    <col min="12546" max="12546" width="18.28515625" style="360" customWidth="1"/>
    <col min="12547" max="12547" width="17.85546875" style="360" customWidth="1"/>
    <col min="12548" max="12548" width="0" style="360" hidden="1" customWidth="1"/>
    <col min="12549" max="12549" width="33.28515625" style="360" customWidth="1"/>
    <col min="12550" max="12797" width="10.7109375" style="360"/>
    <col min="12798" max="12798" width="13.140625" style="360" customWidth="1"/>
    <col min="12799" max="12799" width="38" style="360" customWidth="1"/>
    <col min="12800" max="12800" width="8.42578125" style="360" customWidth="1"/>
    <col min="12801" max="12801" width="15.7109375" style="360" customWidth="1"/>
    <col min="12802" max="12802" width="18.28515625" style="360" customWidth="1"/>
    <col min="12803" max="12803" width="17.85546875" style="360" customWidth="1"/>
    <col min="12804" max="12804" width="0" style="360" hidden="1" customWidth="1"/>
    <col min="12805" max="12805" width="33.28515625" style="360" customWidth="1"/>
    <col min="12806" max="13053" width="10.7109375" style="360"/>
    <col min="13054" max="13054" width="13.140625" style="360" customWidth="1"/>
    <col min="13055" max="13055" width="38" style="360" customWidth="1"/>
    <col min="13056" max="13056" width="8.42578125" style="360" customWidth="1"/>
    <col min="13057" max="13057" width="15.7109375" style="360" customWidth="1"/>
    <col min="13058" max="13058" width="18.28515625" style="360" customWidth="1"/>
    <col min="13059" max="13059" width="17.85546875" style="360" customWidth="1"/>
    <col min="13060" max="13060" width="0" style="360" hidden="1" customWidth="1"/>
    <col min="13061" max="13061" width="33.28515625" style="360" customWidth="1"/>
    <col min="13062" max="13309" width="10.7109375" style="360"/>
    <col min="13310" max="13310" width="13.140625" style="360" customWidth="1"/>
    <col min="13311" max="13311" width="38" style="360" customWidth="1"/>
    <col min="13312" max="13312" width="8.42578125" style="360" customWidth="1"/>
    <col min="13313" max="13313" width="15.7109375" style="360" customWidth="1"/>
    <col min="13314" max="13314" width="18.28515625" style="360" customWidth="1"/>
    <col min="13315" max="13315" width="17.85546875" style="360" customWidth="1"/>
    <col min="13316" max="13316" width="0" style="360" hidden="1" customWidth="1"/>
    <col min="13317" max="13317" width="33.28515625" style="360" customWidth="1"/>
    <col min="13318" max="13565" width="10.7109375" style="360"/>
    <col min="13566" max="13566" width="13.140625" style="360" customWidth="1"/>
    <col min="13567" max="13567" width="38" style="360" customWidth="1"/>
    <col min="13568" max="13568" width="8.42578125" style="360" customWidth="1"/>
    <col min="13569" max="13569" width="15.7109375" style="360" customWidth="1"/>
    <col min="13570" max="13570" width="18.28515625" style="360" customWidth="1"/>
    <col min="13571" max="13571" width="17.85546875" style="360" customWidth="1"/>
    <col min="13572" max="13572" width="0" style="360" hidden="1" customWidth="1"/>
    <col min="13573" max="13573" width="33.28515625" style="360" customWidth="1"/>
    <col min="13574" max="13821" width="10.7109375" style="360"/>
    <col min="13822" max="13822" width="13.140625" style="360" customWidth="1"/>
    <col min="13823" max="13823" width="38" style="360" customWidth="1"/>
    <col min="13824" max="13824" width="8.42578125" style="360" customWidth="1"/>
    <col min="13825" max="13825" width="15.7109375" style="360" customWidth="1"/>
    <col min="13826" max="13826" width="18.28515625" style="360" customWidth="1"/>
    <col min="13827" max="13827" width="17.85546875" style="360" customWidth="1"/>
    <col min="13828" max="13828" width="0" style="360" hidden="1" customWidth="1"/>
    <col min="13829" max="13829" width="33.28515625" style="360" customWidth="1"/>
    <col min="13830" max="14077" width="10.7109375" style="360"/>
    <col min="14078" max="14078" width="13.140625" style="360" customWidth="1"/>
    <col min="14079" max="14079" width="38" style="360" customWidth="1"/>
    <col min="14080" max="14080" width="8.42578125" style="360" customWidth="1"/>
    <col min="14081" max="14081" width="15.7109375" style="360" customWidth="1"/>
    <col min="14082" max="14082" width="18.28515625" style="360" customWidth="1"/>
    <col min="14083" max="14083" width="17.85546875" style="360" customWidth="1"/>
    <col min="14084" max="14084" width="0" style="360" hidden="1" customWidth="1"/>
    <col min="14085" max="14085" width="33.28515625" style="360" customWidth="1"/>
    <col min="14086" max="14333" width="10.7109375" style="360"/>
    <col min="14334" max="14334" width="13.140625" style="360" customWidth="1"/>
    <col min="14335" max="14335" width="38" style="360" customWidth="1"/>
    <col min="14336" max="14336" width="8.42578125" style="360" customWidth="1"/>
    <col min="14337" max="14337" width="15.7109375" style="360" customWidth="1"/>
    <col min="14338" max="14338" width="18.28515625" style="360" customWidth="1"/>
    <col min="14339" max="14339" width="17.85546875" style="360" customWidth="1"/>
    <col min="14340" max="14340" width="0" style="360" hidden="1" customWidth="1"/>
    <col min="14341" max="14341" width="33.28515625" style="360" customWidth="1"/>
    <col min="14342" max="14589" width="10.7109375" style="360"/>
    <col min="14590" max="14590" width="13.140625" style="360" customWidth="1"/>
    <col min="14591" max="14591" width="38" style="360" customWidth="1"/>
    <col min="14592" max="14592" width="8.42578125" style="360" customWidth="1"/>
    <col min="14593" max="14593" width="15.7109375" style="360" customWidth="1"/>
    <col min="14594" max="14594" width="18.28515625" style="360" customWidth="1"/>
    <col min="14595" max="14595" width="17.85546875" style="360" customWidth="1"/>
    <col min="14596" max="14596" width="0" style="360" hidden="1" customWidth="1"/>
    <col min="14597" max="14597" width="33.28515625" style="360" customWidth="1"/>
    <col min="14598" max="14845" width="10.7109375" style="360"/>
    <col min="14846" max="14846" width="13.140625" style="360" customWidth="1"/>
    <col min="14847" max="14847" width="38" style="360" customWidth="1"/>
    <col min="14848" max="14848" width="8.42578125" style="360" customWidth="1"/>
    <col min="14849" max="14849" width="15.7109375" style="360" customWidth="1"/>
    <col min="14850" max="14850" width="18.28515625" style="360" customWidth="1"/>
    <col min="14851" max="14851" width="17.85546875" style="360" customWidth="1"/>
    <col min="14852" max="14852" width="0" style="360" hidden="1" customWidth="1"/>
    <col min="14853" max="14853" width="33.28515625" style="360" customWidth="1"/>
    <col min="14854" max="15101" width="10.7109375" style="360"/>
    <col min="15102" max="15102" width="13.140625" style="360" customWidth="1"/>
    <col min="15103" max="15103" width="38" style="360" customWidth="1"/>
    <col min="15104" max="15104" width="8.42578125" style="360" customWidth="1"/>
    <col min="15105" max="15105" width="15.7109375" style="360" customWidth="1"/>
    <col min="15106" max="15106" width="18.28515625" style="360" customWidth="1"/>
    <col min="15107" max="15107" width="17.85546875" style="360" customWidth="1"/>
    <col min="15108" max="15108" width="0" style="360" hidden="1" customWidth="1"/>
    <col min="15109" max="15109" width="33.28515625" style="360" customWidth="1"/>
    <col min="15110" max="15357" width="10.7109375" style="360"/>
    <col min="15358" max="15358" width="13.140625" style="360" customWidth="1"/>
    <col min="15359" max="15359" width="38" style="360" customWidth="1"/>
    <col min="15360" max="15360" width="8.42578125" style="360" customWidth="1"/>
    <col min="15361" max="15361" width="15.7109375" style="360" customWidth="1"/>
    <col min="15362" max="15362" width="18.28515625" style="360" customWidth="1"/>
    <col min="15363" max="15363" width="17.85546875" style="360" customWidth="1"/>
    <col min="15364" max="15364" width="0" style="360" hidden="1" customWidth="1"/>
    <col min="15365" max="15365" width="33.28515625" style="360" customWidth="1"/>
    <col min="15366" max="15613" width="10.7109375" style="360"/>
    <col min="15614" max="15614" width="13.140625" style="360" customWidth="1"/>
    <col min="15615" max="15615" width="38" style="360" customWidth="1"/>
    <col min="15616" max="15616" width="8.42578125" style="360" customWidth="1"/>
    <col min="15617" max="15617" width="15.7109375" style="360" customWidth="1"/>
    <col min="15618" max="15618" width="18.28515625" style="360" customWidth="1"/>
    <col min="15619" max="15619" width="17.85546875" style="360" customWidth="1"/>
    <col min="15620" max="15620" width="0" style="360" hidden="1" customWidth="1"/>
    <col min="15621" max="15621" width="33.28515625" style="360" customWidth="1"/>
    <col min="15622" max="15869" width="10.7109375" style="360"/>
    <col min="15870" max="15870" width="13.140625" style="360" customWidth="1"/>
    <col min="15871" max="15871" width="38" style="360" customWidth="1"/>
    <col min="15872" max="15872" width="8.42578125" style="360" customWidth="1"/>
    <col min="15873" max="15873" width="15.7109375" style="360" customWidth="1"/>
    <col min="15874" max="15874" width="18.28515625" style="360" customWidth="1"/>
    <col min="15875" max="15875" width="17.85546875" style="360" customWidth="1"/>
    <col min="15876" max="15876" width="0" style="360" hidden="1" customWidth="1"/>
    <col min="15877" max="15877" width="33.28515625" style="360" customWidth="1"/>
    <col min="15878" max="16125" width="10.7109375" style="360"/>
    <col min="16126" max="16126" width="13.140625" style="360" customWidth="1"/>
    <col min="16127" max="16127" width="38" style="360" customWidth="1"/>
    <col min="16128" max="16128" width="8.42578125" style="360" customWidth="1"/>
    <col min="16129" max="16129" width="15.7109375" style="360" customWidth="1"/>
    <col min="16130" max="16130" width="18.28515625" style="360" customWidth="1"/>
    <col min="16131" max="16131" width="17.85546875" style="360" customWidth="1"/>
    <col min="16132" max="16132" width="0" style="360" hidden="1" customWidth="1"/>
    <col min="16133" max="16133" width="33.28515625" style="360" customWidth="1"/>
    <col min="16134" max="16384" width="10.7109375" style="360"/>
  </cols>
  <sheetData>
    <row r="1" spans="1:11" ht="14.25" x14ac:dyDescent="0.25">
      <c r="A1" s="601" t="s">
        <v>1805</v>
      </c>
      <c r="B1" s="361"/>
      <c r="C1" s="357"/>
      <c r="D1" s="779"/>
      <c r="E1" s="358"/>
      <c r="F1" s="358"/>
      <c r="G1" s="359"/>
      <c r="H1" s="362"/>
    </row>
    <row r="2" spans="1:11" ht="13.15" x14ac:dyDescent="0.3">
      <c r="A2" s="361"/>
      <c r="B2" s="361"/>
      <c r="C2" s="357"/>
      <c r="D2" s="779"/>
      <c r="E2" s="358"/>
      <c r="F2" s="358"/>
      <c r="G2" s="359"/>
      <c r="H2" s="362"/>
    </row>
    <row r="3" spans="1:11" ht="13.15" x14ac:dyDescent="0.3">
      <c r="A3" s="359"/>
      <c r="B3" s="359"/>
      <c r="C3" s="357"/>
      <c r="D3" s="779"/>
      <c r="E3" s="358"/>
      <c r="F3" s="358"/>
      <c r="G3" s="359"/>
      <c r="H3" s="362"/>
    </row>
    <row r="4" spans="1:11" ht="13.15" x14ac:dyDescent="0.3">
      <c r="A4" s="1445" t="s">
        <v>1217</v>
      </c>
      <c r="B4" s="1445"/>
      <c r="C4" s="1445"/>
      <c r="D4" s="1445"/>
      <c r="E4" s="1445"/>
      <c r="F4" s="1445"/>
      <c r="G4" s="1445"/>
      <c r="H4" s="1445"/>
    </row>
    <row r="5" spans="1:11" ht="13.15" x14ac:dyDescent="0.3">
      <c r="A5" s="1445" t="s">
        <v>1455</v>
      </c>
      <c r="B5" s="1445"/>
      <c r="C5" s="1445"/>
      <c r="D5" s="1445"/>
      <c r="E5" s="1445"/>
      <c r="F5" s="1445"/>
      <c r="G5" s="1445"/>
      <c r="H5" s="1445"/>
    </row>
    <row r="6" spans="1:11" ht="13.15" x14ac:dyDescent="0.3">
      <c r="A6" s="1445" t="str">
        <f>DG!C61</f>
        <v>Arhitectură (reabilitare termică)</v>
      </c>
      <c r="B6" s="1445"/>
      <c r="C6" s="1445"/>
      <c r="D6" s="1445"/>
      <c r="E6" s="1445"/>
      <c r="F6" s="1445"/>
      <c r="G6" s="1445"/>
      <c r="H6" s="1445"/>
    </row>
    <row r="7" spans="1:11" ht="13.15" x14ac:dyDescent="0.3">
      <c r="A7" s="828"/>
      <c r="B7" s="361"/>
      <c r="C7" s="828"/>
      <c r="D7" s="780"/>
      <c r="E7" s="560"/>
      <c r="F7" s="560"/>
      <c r="G7" s="828"/>
      <c r="H7" s="356"/>
    </row>
    <row r="8" spans="1:11" ht="13.15" x14ac:dyDescent="0.3">
      <c r="A8" s="359"/>
      <c r="B8" s="359"/>
      <c r="C8" s="357"/>
      <c r="D8" s="788">
        <v>1</v>
      </c>
      <c r="E8" s="358"/>
      <c r="F8" s="358"/>
      <c r="G8" s="359"/>
      <c r="H8" s="362"/>
    </row>
    <row r="9" spans="1:11" ht="38.25" x14ac:dyDescent="0.25">
      <c r="A9" s="1446" t="s">
        <v>1179</v>
      </c>
      <c r="B9" s="1446" t="s">
        <v>1180</v>
      </c>
      <c r="C9" s="1446" t="s">
        <v>1181</v>
      </c>
      <c r="D9" s="1447" t="s">
        <v>1456</v>
      </c>
      <c r="E9" s="1448" t="s">
        <v>1456</v>
      </c>
      <c r="F9" s="829" t="s">
        <v>1183</v>
      </c>
      <c r="G9" s="1446" t="s">
        <v>1184</v>
      </c>
      <c r="H9" s="1446" t="s">
        <v>1185</v>
      </c>
    </row>
    <row r="10" spans="1:11" ht="25.5" x14ac:dyDescent="0.25">
      <c r="A10" s="1446"/>
      <c r="B10" s="1446"/>
      <c r="C10" s="1446"/>
      <c r="D10" s="1447"/>
      <c r="E10" s="1448"/>
      <c r="F10" s="829" t="s">
        <v>1186</v>
      </c>
      <c r="G10" s="1446"/>
      <c r="H10" s="1446"/>
    </row>
    <row r="11" spans="1:11" ht="13.15" x14ac:dyDescent="0.3">
      <c r="A11" s="826">
        <v>1</v>
      </c>
      <c r="B11" s="826">
        <v>2</v>
      </c>
      <c r="C11" s="826">
        <v>3</v>
      </c>
      <c r="D11" s="778">
        <v>4</v>
      </c>
      <c r="E11" s="562">
        <v>4</v>
      </c>
      <c r="F11" s="562">
        <v>5</v>
      </c>
      <c r="G11" s="826">
        <v>7</v>
      </c>
      <c r="H11" s="826">
        <v>6</v>
      </c>
    </row>
    <row r="12" spans="1:11" ht="26.45" x14ac:dyDescent="0.3">
      <c r="A12" s="887" t="s">
        <v>1457</v>
      </c>
      <c r="B12" s="883" t="s">
        <v>1806</v>
      </c>
      <c r="C12" s="884"/>
      <c r="D12" s="889"/>
      <c r="E12" s="892"/>
      <c r="F12" s="893"/>
      <c r="G12" s="885"/>
      <c r="H12" s="886"/>
      <c r="I12" s="845"/>
      <c r="K12" s="559"/>
    </row>
    <row r="13" spans="1:11" ht="14.45" x14ac:dyDescent="0.3">
      <c r="A13" s="366" t="s">
        <v>1458</v>
      </c>
      <c r="B13" s="549" t="s">
        <v>1807</v>
      </c>
      <c r="C13" s="550">
        <v>0</v>
      </c>
      <c r="D13" s="888">
        <v>1822</v>
      </c>
      <c r="E13" s="890">
        <f>D13*D8</f>
        <v>1822</v>
      </c>
      <c r="F13" s="891">
        <f>E13*C13</f>
        <v>0</v>
      </c>
      <c r="G13" s="551"/>
      <c r="H13" s="552" t="s">
        <v>1808</v>
      </c>
      <c r="I13" s="845"/>
      <c r="K13" s="559"/>
    </row>
    <row r="14" spans="1:11" ht="14.45" x14ac:dyDescent="0.3">
      <c r="A14" s="366" t="s">
        <v>1459</v>
      </c>
      <c r="B14" s="549"/>
      <c r="C14" s="550"/>
      <c r="D14" s="888"/>
      <c r="E14" s="890"/>
      <c r="F14" s="891"/>
      <c r="G14" s="551"/>
      <c r="H14" s="552"/>
      <c r="I14" s="845"/>
      <c r="K14" s="559"/>
    </row>
    <row r="15" spans="1:11" ht="14.45" x14ac:dyDescent="0.3">
      <c r="A15" s="366" t="s">
        <v>1460</v>
      </c>
      <c r="B15" s="549"/>
      <c r="C15" s="550"/>
      <c r="D15" s="888"/>
      <c r="E15" s="890"/>
      <c r="F15" s="891"/>
      <c r="G15" s="551"/>
      <c r="H15" s="552"/>
      <c r="I15" s="845"/>
      <c r="K15" s="559"/>
    </row>
    <row r="16" spans="1:11" ht="14.45" x14ac:dyDescent="0.3">
      <c r="A16" s="366" t="s">
        <v>1461</v>
      </c>
      <c r="B16" s="549"/>
      <c r="C16" s="550"/>
      <c r="D16" s="888"/>
      <c r="E16" s="890"/>
      <c r="F16" s="891"/>
      <c r="G16" s="551"/>
      <c r="H16" s="552"/>
      <c r="I16" s="845"/>
      <c r="K16" s="559"/>
    </row>
    <row r="17" spans="1:11" ht="14.45" x14ac:dyDescent="0.3">
      <c r="A17" s="366" t="s">
        <v>1492</v>
      </c>
      <c r="B17" s="882"/>
      <c r="C17" s="882"/>
      <c r="D17" s="882"/>
      <c r="E17" s="827"/>
      <c r="F17" s="370">
        <f>SUM(F13:F16)</f>
        <v>0</v>
      </c>
      <c r="G17" s="1444" t="s">
        <v>1188</v>
      </c>
      <c r="H17" s="1444"/>
      <c r="I17" s="845"/>
      <c r="K17" s="559"/>
    </row>
    <row r="18" spans="1:11" ht="14.45" x14ac:dyDescent="0.3">
      <c r="A18" s="882" t="s">
        <v>545</v>
      </c>
      <c r="B18" s="359"/>
      <c r="C18" s="372"/>
      <c r="D18" s="779"/>
      <c r="E18" s="358"/>
      <c r="F18" s="358"/>
      <c r="G18" s="359"/>
      <c r="H18" s="362"/>
      <c r="I18" s="845"/>
      <c r="K18" s="559"/>
    </row>
    <row r="19" spans="1:11" ht="14.45" x14ac:dyDescent="0.25">
      <c r="A19" s="356"/>
      <c r="B19" s="359"/>
      <c r="C19" s="357"/>
      <c r="D19" s="779"/>
      <c r="E19" s="358"/>
      <c r="F19" s="358"/>
      <c r="G19" s="359"/>
      <c r="H19" s="44" t="s">
        <v>82</v>
      </c>
      <c r="I19" s="845"/>
      <c r="K19" s="559"/>
    </row>
    <row r="20" spans="1:11" ht="14.45" x14ac:dyDescent="0.25">
      <c r="A20" s="356"/>
      <c r="B20" s="359"/>
      <c r="C20" s="357"/>
      <c r="D20" s="779"/>
      <c r="E20" s="358"/>
      <c r="F20" s="358"/>
      <c r="G20" s="359"/>
      <c r="H20" s="45"/>
      <c r="I20" s="845"/>
      <c r="K20" s="559"/>
    </row>
    <row r="21" spans="1:11" ht="14.45" x14ac:dyDescent="0.25">
      <c r="A21" s="356"/>
      <c r="B21" s="359"/>
      <c r="C21" s="357"/>
      <c r="D21" s="779"/>
      <c r="E21" s="358"/>
      <c r="F21" s="358"/>
      <c r="G21" s="359"/>
      <c r="H21" s="44" t="s">
        <v>1516</v>
      </c>
      <c r="I21" s="845"/>
      <c r="K21" s="559"/>
    </row>
    <row r="22" spans="1:11" ht="14.45" x14ac:dyDescent="0.25">
      <c r="A22" s="356"/>
      <c r="B22" s="359"/>
      <c r="C22" s="357"/>
      <c r="D22" s="779"/>
      <c r="E22" s="358"/>
      <c r="F22" s="358"/>
      <c r="G22" s="359"/>
      <c r="H22" s="45" t="s">
        <v>83</v>
      </c>
      <c r="I22" s="845"/>
      <c r="K22" s="559"/>
    </row>
    <row r="23" spans="1:11" ht="13.9" x14ac:dyDescent="0.25">
      <c r="A23" s="359"/>
      <c r="B23" s="359"/>
      <c r="C23" s="357"/>
      <c r="D23" s="779"/>
      <c r="E23" s="358"/>
      <c r="F23" s="358"/>
      <c r="G23" s="359"/>
      <c r="H23" s="45" t="s">
        <v>1517</v>
      </c>
    </row>
    <row r="24" spans="1:11" ht="13.15" x14ac:dyDescent="0.3">
      <c r="A24" s="359"/>
      <c r="B24" s="359"/>
      <c r="C24" s="357"/>
      <c r="D24" s="779"/>
      <c r="E24" s="358"/>
      <c r="F24" s="358"/>
      <c r="G24" s="359"/>
      <c r="H24" s="362"/>
    </row>
    <row r="25" spans="1:11" ht="13.15" x14ac:dyDescent="0.3">
      <c r="A25" s="359"/>
    </row>
    <row r="26" spans="1:11" ht="13.15" x14ac:dyDescent="0.3">
      <c r="A26" s="359"/>
    </row>
    <row r="27" spans="1:11" ht="13.15" x14ac:dyDescent="0.3">
      <c r="A27" s="359"/>
      <c r="H27" s="389"/>
    </row>
    <row r="28" spans="1:11" ht="13.15" x14ac:dyDescent="0.3">
      <c r="A28" s="359"/>
    </row>
    <row r="29" spans="1:11" ht="13.15" x14ac:dyDescent="0.3">
      <c r="A29" s="359"/>
      <c r="H29" s="389"/>
    </row>
    <row r="31" spans="1:11" ht="13.15" x14ac:dyDescent="0.3">
      <c r="A31" s="378"/>
      <c r="H31" s="389"/>
    </row>
    <row r="32" spans="1:11" ht="13.15" x14ac:dyDescent="0.3">
      <c r="A32" s="378"/>
    </row>
    <row r="33" spans="1:13" x14ac:dyDescent="0.25">
      <c r="A33" s="378"/>
    </row>
    <row r="34" spans="1:13" x14ac:dyDescent="0.25">
      <c r="A34" s="378"/>
      <c r="H34" s="389"/>
    </row>
    <row r="35" spans="1:13" x14ac:dyDescent="0.25">
      <c r="A35" s="378"/>
    </row>
    <row r="36" spans="1:13" x14ac:dyDescent="0.25">
      <c r="A36" s="378"/>
      <c r="H36" s="389"/>
    </row>
    <row r="37" spans="1:13" x14ac:dyDescent="0.25">
      <c r="A37" s="378"/>
    </row>
    <row r="38" spans="1:13" x14ac:dyDescent="0.25">
      <c r="A38" s="378"/>
    </row>
    <row r="39" spans="1:13" x14ac:dyDescent="0.25">
      <c r="A39" s="378"/>
      <c r="H39" s="389"/>
    </row>
    <row r="40" spans="1:13" x14ac:dyDescent="0.25">
      <c r="A40" s="378"/>
      <c r="B40" s="363"/>
      <c r="H40" s="389"/>
    </row>
    <row r="41" spans="1:13" x14ac:dyDescent="0.25">
      <c r="A41" s="378"/>
      <c r="H41" s="389"/>
      <c r="I41" s="374"/>
      <c r="J41" s="374"/>
      <c r="K41" s="374"/>
      <c r="L41" s="374"/>
      <c r="M41" s="374"/>
    </row>
    <row r="42" spans="1:13" x14ac:dyDescent="0.25">
      <c r="A42" s="378"/>
      <c r="H42" s="389"/>
      <c r="I42" s="374"/>
      <c r="J42" s="374"/>
      <c r="K42" s="374"/>
      <c r="L42" s="374"/>
      <c r="M42" s="374"/>
    </row>
    <row r="43" spans="1:13" x14ac:dyDescent="0.25">
      <c r="A43" s="378"/>
      <c r="H43" s="389"/>
      <c r="I43" s="374"/>
      <c r="J43" s="374"/>
      <c r="K43" s="374"/>
      <c r="L43" s="374"/>
      <c r="M43" s="374"/>
    </row>
    <row r="44" spans="1:13" x14ac:dyDescent="0.25">
      <c r="A44" s="378"/>
      <c r="H44" s="389"/>
      <c r="I44" s="374"/>
      <c r="J44" s="374"/>
      <c r="K44" s="374"/>
      <c r="L44" s="374"/>
      <c r="M44" s="374"/>
    </row>
    <row r="45" spans="1:13" x14ac:dyDescent="0.25">
      <c r="A45" s="378"/>
      <c r="H45" s="389"/>
      <c r="I45" s="374"/>
      <c r="J45" s="374"/>
      <c r="K45" s="374"/>
      <c r="L45" s="374"/>
      <c r="M45" s="374"/>
    </row>
    <row r="46" spans="1:13" x14ac:dyDescent="0.25">
      <c r="A46" s="378"/>
      <c r="H46" s="389"/>
      <c r="I46" s="374"/>
      <c r="J46" s="374"/>
      <c r="K46" s="374"/>
      <c r="L46" s="374"/>
      <c r="M46" s="374"/>
    </row>
    <row r="47" spans="1:13" x14ac:dyDescent="0.25">
      <c r="A47" s="378"/>
      <c r="D47" s="786"/>
      <c r="E47" s="380"/>
      <c r="F47" s="380"/>
      <c r="G47" s="374"/>
      <c r="I47" s="374"/>
      <c r="J47" s="374"/>
      <c r="K47" s="374"/>
      <c r="L47" s="374"/>
      <c r="M47" s="374"/>
    </row>
    <row r="48" spans="1:13" x14ac:dyDescent="0.25">
      <c r="A48" s="378"/>
      <c r="D48" s="786"/>
      <c r="E48" s="380"/>
      <c r="F48" s="380"/>
      <c r="G48" s="374"/>
      <c r="I48" s="374"/>
      <c r="J48" s="374"/>
      <c r="K48" s="374"/>
      <c r="L48" s="374"/>
      <c r="M48" s="374"/>
    </row>
    <row r="49" spans="1:13" x14ac:dyDescent="0.25">
      <c r="A49" s="378"/>
      <c r="D49" s="786"/>
      <c r="E49" s="380"/>
      <c r="F49" s="380"/>
      <c r="G49" s="374"/>
      <c r="I49" s="374"/>
      <c r="J49" s="374"/>
      <c r="K49" s="374"/>
      <c r="L49" s="374"/>
      <c r="M49" s="374"/>
    </row>
    <row r="50" spans="1:13" x14ac:dyDescent="0.25">
      <c r="A50" s="378"/>
      <c r="D50" s="786"/>
      <c r="E50" s="380"/>
      <c r="F50" s="380"/>
      <c r="G50" s="374"/>
      <c r="I50" s="374"/>
      <c r="J50" s="374"/>
      <c r="K50" s="374"/>
      <c r="L50" s="374"/>
      <c r="M50" s="374"/>
    </row>
    <row r="51" spans="1:13" x14ac:dyDescent="0.25">
      <c r="A51" s="378"/>
      <c r="D51" s="786"/>
      <c r="E51" s="380"/>
      <c r="F51" s="380"/>
      <c r="G51" s="374"/>
      <c r="I51" s="374"/>
      <c r="J51" s="374"/>
      <c r="K51" s="374"/>
      <c r="L51" s="374"/>
      <c r="M51" s="374"/>
    </row>
    <row r="52" spans="1:13" x14ac:dyDescent="0.25">
      <c r="A52" s="376"/>
      <c r="D52" s="786"/>
      <c r="E52" s="380"/>
      <c r="F52" s="380"/>
      <c r="G52" s="374"/>
      <c r="I52" s="374"/>
      <c r="J52" s="374"/>
      <c r="K52" s="374"/>
      <c r="L52" s="374"/>
      <c r="M52" s="374"/>
    </row>
    <row r="53" spans="1:13" x14ac:dyDescent="0.25">
      <c r="A53" s="376"/>
      <c r="D53" s="786"/>
      <c r="E53" s="380"/>
      <c r="F53" s="380"/>
      <c r="G53" s="374"/>
      <c r="I53" s="374"/>
      <c r="J53" s="374"/>
      <c r="K53" s="374"/>
      <c r="L53" s="374"/>
      <c r="M53" s="374"/>
    </row>
    <row r="54" spans="1:13" x14ac:dyDescent="0.25">
      <c r="D54" s="786"/>
      <c r="E54" s="380"/>
      <c r="F54" s="380"/>
      <c r="G54" s="374"/>
      <c r="I54" s="374"/>
      <c r="J54" s="374"/>
      <c r="K54" s="374"/>
      <c r="L54" s="374"/>
      <c r="M54" s="374"/>
    </row>
    <row r="55" spans="1:13" x14ac:dyDescent="0.25">
      <c r="D55" s="786"/>
      <c r="E55" s="380"/>
      <c r="F55" s="380"/>
      <c r="G55" s="374"/>
      <c r="I55" s="374"/>
      <c r="J55" s="374"/>
      <c r="K55" s="374"/>
      <c r="L55" s="374"/>
      <c r="M55" s="374"/>
    </row>
    <row r="56" spans="1:13" x14ac:dyDescent="0.25">
      <c r="A56" s="376"/>
      <c r="D56" s="786"/>
      <c r="E56" s="380"/>
      <c r="F56" s="380"/>
      <c r="G56" s="374"/>
      <c r="I56" s="374"/>
      <c r="J56" s="374"/>
      <c r="K56" s="374"/>
      <c r="L56" s="374"/>
      <c r="M56" s="374"/>
    </row>
    <row r="57" spans="1:13" x14ac:dyDescent="0.25">
      <c r="A57" s="376"/>
      <c r="D57" s="786"/>
      <c r="E57" s="380"/>
      <c r="F57" s="380"/>
      <c r="G57" s="374"/>
      <c r="I57" s="374"/>
      <c r="J57" s="374"/>
      <c r="K57" s="374"/>
      <c r="L57" s="374"/>
      <c r="M57" s="374"/>
    </row>
    <row r="58" spans="1:13" x14ac:dyDescent="0.25">
      <c r="A58" s="376"/>
      <c r="D58" s="786"/>
      <c r="E58" s="380"/>
      <c r="F58" s="380"/>
      <c r="G58" s="374"/>
      <c r="I58" s="374"/>
      <c r="J58" s="374"/>
      <c r="K58" s="374"/>
      <c r="L58" s="374"/>
      <c r="M58" s="374"/>
    </row>
    <row r="59" spans="1:13" x14ac:dyDescent="0.25">
      <c r="A59" s="376"/>
      <c r="D59" s="786"/>
      <c r="E59" s="380"/>
      <c r="F59" s="380"/>
      <c r="G59" s="374"/>
      <c r="I59" s="374"/>
      <c r="J59" s="374"/>
      <c r="K59" s="374"/>
      <c r="L59" s="374"/>
      <c r="M59" s="374"/>
    </row>
    <row r="60" spans="1:13" x14ac:dyDescent="0.25">
      <c r="A60" s="376"/>
      <c r="D60" s="786"/>
      <c r="E60" s="380"/>
      <c r="F60" s="380"/>
      <c r="G60" s="374"/>
      <c r="I60" s="374"/>
      <c r="J60" s="374"/>
      <c r="K60" s="374"/>
      <c r="L60" s="374"/>
      <c r="M60" s="374"/>
    </row>
    <row r="61" spans="1:13" x14ac:dyDescent="0.25">
      <c r="A61" s="376"/>
      <c r="D61" s="786"/>
      <c r="E61" s="380"/>
      <c r="F61" s="380"/>
      <c r="G61" s="374"/>
      <c r="I61" s="374"/>
      <c r="J61" s="374"/>
      <c r="K61" s="374"/>
      <c r="L61" s="374"/>
      <c r="M61" s="374"/>
    </row>
    <row r="62" spans="1:13" x14ac:dyDescent="0.25">
      <c r="A62" s="376"/>
      <c r="D62" s="786"/>
      <c r="E62" s="380"/>
      <c r="F62" s="380"/>
      <c r="G62" s="374"/>
      <c r="I62" s="374"/>
      <c r="J62" s="374"/>
      <c r="K62" s="374"/>
      <c r="L62" s="374"/>
      <c r="M62" s="374"/>
    </row>
    <row r="63" spans="1:13" x14ac:dyDescent="0.25">
      <c r="A63" s="376"/>
      <c r="D63" s="786"/>
      <c r="E63" s="380"/>
      <c r="F63" s="380"/>
      <c r="G63" s="374"/>
      <c r="I63" s="374"/>
      <c r="J63" s="374"/>
      <c r="K63" s="374"/>
      <c r="L63" s="374"/>
      <c r="M63" s="374"/>
    </row>
    <row r="64" spans="1:13" x14ac:dyDescent="0.25">
      <c r="A64" s="376"/>
      <c r="D64" s="786"/>
      <c r="E64" s="380"/>
      <c r="F64" s="380"/>
      <c r="G64" s="374"/>
      <c r="I64" s="374"/>
      <c r="J64" s="374"/>
      <c r="K64" s="374"/>
      <c r="L64" s="374"/>
      <c r="M64" s="374"/>
    </row>
    <row r="65" spans="1:13" x14ac:dyDescent="0.25">
      <c r="A65" s="376"/>
      <c r="D65" s="786"/>
      <c r="E65" s="380"/>
      <c r="F65" s="380"/>
      <c r="G65" s="374"/>
      <c r="I65" s="374"/>
      <c r="J65" s="374"/>
      <c r="K65" s="374"/>
      <c r="L65" s="374"/>
      <c r="M65" s="374"/>
    </row>
    <row r="66" spans="1:13" x14ac:dyDescent="0.25">
      <c r="A66" s="376"/>
      <c r="D66" s="786"/>
      <c r="E66" s="380"/>
      <c r="F66" s="380"/>
      <c r="G66" s="374"/>
      <c r="I66" s="374"/>
      <c r="J66" s="374"/>
      <c r="K66" s="374"/>
      <c r="L66" s="374"/>
      <c r="M66" s="374"/>
    </row>
    <row r="67" spans="1:13" x14ac:dyDescent="0.25">
      <c r="A67" s="376"/>
      <c r="D67" s="786"/>
      <c r="E67" s="380"/>
      <c r="F67" s="380"/>
      <c r="G67" s="374"/>
      <c r="I67" s="374"/>
      <c r="J67" s="374"/>
      <c r="K67" s="374"/>
      <c r="L67" s="374"/>
      <c r="M67" s="374"/>
    </row>
    <row r="68" spans="1:13" x14ac:dyDescent="0.25">
      <c r="A68" s="376"/>
      <c r="D68" s="786"/>
      <c r="E68" s="380"/>
      <c r="F68" s="380"/>
      <c r="G68" s="374"/>
      <c r="I68" s="374"/>
      <c r="J68" s="374"/>
      <c r="K68" s="374"/>
      <c r="L68" s="374"/>
      <c r="M68" s="374"/>
    </row>
    <row r="69" spans="1:13" x14ac:dyDescent="0.25">
      <c r="A69" s="376"/>
      <c r="D69" s="786"/>
      <c r="E69" s="380"/>
      <c r="F69" s="380"/>
      <c r="G69" s="374"/>
      <c r="I69" s="374"/>
      <c r="J69" s="374"/>
      <c r="K69" s="374"/>
      <c r="L69" s="374"/>
      <c r="M69" s="374"/>
    </row>
    <row r="70" spans="1:13" x14ac:dyDescent="0.25">
      <c r="A70" s="376"/>
      <c r="D70" s="786"/>
      <c r="E70" s="380"/>
      <c r="F70" s="380"/>
      <c r="G70" s="374"/>
      <c r="I70" s="374"/>
      <c r="J70" s="374"/>
      <c r="K70" s="374"/>
      <c r="L70" s="374"/>
      <c r="M70" s="374"/>
    </row>
    <row r="71" spans="1:13" x14ac:dyDescent="0.25">
      <c r="A71" s="376"/>
      <c r="D71" s="786"/>
      <c r="E71" s="380"/>
      <c r="F71" s="380"/>
      <c r="G71" s="374"/>
      <c r="I71" s="374"/>
      <c r="J71" s="374"/>
      <c r="K71" s="374"/>
      <c r="L71" s="374"/>
      <c r="M71" s="374"/>
    </row>
    <row r="72" spans="1:13" x14ac:dyDescent="0.25">
      <c r="D72" s="786"/>
      <c r="E72" s="380"/>
      <c r="F72" s="380"/>
      <c r="G72" s="374"/>
      <c r="I72" s="374"/>
      <c r="J72" s="374"/>
      <c r="K72" s="374"/>
      <c r="L72" s="374"/>
      <c r="M72" s="374"/>
    </row>
    <row r="73" spans="1:13" x14ac:dyDescent="0.25">
      <c r="D73" s="786"/>
      <c r="E73" s="380"/>
      <c r="F73" s="380"/>
      <c r="G73" s="374"/>
      <c r="I73" s="374"/>
      <c r="J73" s="374"/>
      <c r="K73" s="374"/>
      <c r="L73" s="374"/>
      <c r="M73" s="374"/>
    </row>
    <row r="74" spans="1:13" x14ac:dyDescent="0.25">
      <c r="D74" s="786"/>
      <c r="E74" s="380"/>
      <c r="F74" s="380"/>
      <c r="G74" s="374"/>
      <c r="I74" s="374"/>
      <c r="J74" s="374"/>
      <c r="K74" s="374"/>
      <c r="L74" s="374"/>
      <c r="M74" s="374"/>
    </row>
    <row r="75" spans="1:13" x14ac:dyDescent="0.25">
      <c r="A75" s="376"/>
      <c r="D75" s="786"/>
      <c r="E75" s="380"/>
      <c r="F75" s="380"/>
      <c r="G75" s="374"/>
      <c r="I75" s="374"/>
      <c r="J75" s="374"/>
      <c r="K75" s="374"/>
      <c r="L75" s="374"/>
      <c r="M75" s="374"/>
    </row>
    <row r="76" spans="1:13" x14ac:dyDescent="0.25">
      <c r="A76" s="376"/>
      <c r="D76" s="786"/>
      <c r="E76" s="380"/>
      <c r="F76" s="380"/>
      <c r="G76" s="374"/>
      <c r="I76" s="374"/>
      <c r="J76" s="374"/>
      <c r="K76" s="374"/>
      <c r="L76" s="374"/>
      <c r="M76" s="374"/>
    </row>
    <row r="77" spans="1:13" x14ac:dyDescent="0.25">
      <c r="A77" s="376"/>
      <c r="D77" s="786"/>
      <c r="E77" s="380"/>
      <c r="F77" s="380"/>
      <c r="G77" s="374"/>
      <c r="I77" s="374"/>
      <c r="J77" s="374"/>
      <c r="K77" s="374"/>
      <c r="L77" s="374"/>
      <c r="M77" s="374"/>
    </row>
    <row r="78" spans="1:13" x14ac:dyDescent="0.25">
      <c r="A78" s="376"/>
      <c r="D78" s="786"/>
      <c r="E78" s="380"/>
      <c r="F78" s="380"/>
      <c r="G78" s="374"/>
      <c r="I78" s="374"/>
      <c r="J78" s="374"/>
      <c r="K78" s="374"/>
      <c r="L78" s="374"/>
      <c r="M78" s="374"/>
    </row>
    <row r="79" spans="1:13" x14ac:dyDescent="0.25">
      <c r="A79" s="376"/>
      <c r="C79" s="381"/>
      <c r="D79" s="787"/>
      <c r="E79" s="382"/>
      <c r="I79" s="374"/>
      <c r="J79" s="374"/>
      <c r="K79" s="374"/>
      <c r="L79" s="374"/>
      <c r="M79" s="374"/>
    </row>
    <row r="80" spans="1:13" x14ac:dyDescent="0.25">
      <c r="A80" s="376"/>
      <c r="C80" s="381"/>
      <c r="D80" s="787"/>
      <c r="E80" s="382"/>
      <c r="I80" s="374"/>
      <c r="J80" s="374"/>
      <c r="K80" s="374"/>
      <c r="L80" s="374"/>
      <c r="M80" s="374"/>
    </row>
    <row r="81" spans="1:14" x14ac:dyDescent="0.25">
      <c r="A81" s="376"/>
      <c r="C81" s="381"/>
      <c r="D81" s="787"/>
      <c r="E81" s="382"/>
      <c r="I81" s="374"/>
      <c r="J81" s="374"/>
      <c r="K81" s="374"/>
      <c r="L81" s="374"/>
      <c r="M81" s="374"/>
    </row>
    <row r="82" spans="1:14" x14ac:dyDescent="0.25">
      <c r="A82" s="376"/>
      <c r="C82" s="381"/>
      <c r="D82" s="787"/>
      <c r="E82" s="382"/>
      <c r="I82" s="374"/>
      <c r="J82" s="374"/>
      <c r="K82" s="374"/>
      <c r="L82" s="374"/>
      <c r="M82" s="374"/>
    </row>
    <row r="83" spans="1:14" x14ac:dyDescent="0.25">
      <c r="C83" s="381"/>
      <c r="D83" s="787"/>
      <c r="E83" s="382"/>
      <c r="I83" s="374"/>
      <c r="J83" s="374"/>
      <c r="K83" s="374"/>
      <c r="L83" s="374"/>
      <c r="M83" s="374"/>
    </row>
    <row r="84" spans="1:14" x14ac:dyDescent="0.25">
      <c r="C84" s="381"/>
      <c r="D84" s="787"/>
      <c r="E84" s="382"/>
      <c r="I84" s="374"/>
      <c r="J84" s="374"/>
      <c r="K84" s="374"/>
      <c r="L84" s="374"/>
      <c r="M84" s="374"/>
    </row>
    <row r="85" spans="1:14" x14ac:dyDescent="0.25">
      <c r="A85" s="376"/>
      <c r="C85" s="381"/>
      <c r="D85" s="787"/>
      <c r="E85" s="382"/>
    </row>
    <row r="86" spans="1:14" s="375" customFormat="1" x14ac:dyDescent="0.25">
      <c r="A86" s="376"/>
      <c r="B86" s="360"/>
      <c r="C86" s="374"/>
      <c r="D86" s="787"/>
      <c r="E86" s="382"/>
      <c r="G86" s="360"/>
      <c r="H86" s="373"/>
      <c r="I86" s="360"/>
      <c r="J86" s="360"/>
      <c r="K86" s="360"/>
      <c r="L86" s="360"/>
      <c r="M86" s="360"/>
      <c r="N86" s="360"/>
    </row>
    <row r="87" spans="1:14" s="375" customFormat="1" x14ac:dyDescent="0.25">
      <c r="A87" s="376"/>
      <c r="B87" s="360"/>
      <c r="C87" s="374"/>
      <c r="D87" s="787"/>
      <c r="E87" s="382"/>
      <c r="G87" s="360"/>
      <c r="H87" s="373"/>
      <c r="I87" s="360"/>
      <c r="J87" s="360"/>
      <c r="K87" s="360"/>
      <c r="L87" s="360"/>
      <c r="M87" s="360"/>
      <c r="N87" s="360"/>
    </row>
    <row r="88" spans="1:14" s="375" customFormat="1" x14ac:dyDescent="0.25">
      <c r="A88" s="376"/>
      <c r="B88" s="360"/>
      <c r="C88" s="381"/>
      <c r="D88" s="787"/>
      <c r="E88" s="382"/>
      <c r="G88" s="360"/>
      <c r="H88" s="373"/>
      <c r="I88" s="360"/>
      <c r="J88" s="360"/>
      <c r="K88" s="360"/>
      <c r="L88" s="360"/>
      <c r="M88" s="360"/>
      <c r="N88" s="360"/>
    </row>
    <row r="89" spans="1:14" s="375" customFormat="1" x14ac:dyDescent="0.25">
      <c r="A89" s="376"/>
      <c r="B89" s="360"/>
      <c r="C89" s="381"/>
      <c r="D89" s="787"/>
      <c r="E89" s="382"/>
      <c r="G89" s="360"/>
      <c r="H89" s="373"/>
      <c r="I89" s="360"/>
      <c r="J89" s="360"/>
      <c r="K89" s="360"/>
      <c r="L89" s="360"/>
      <c r="M89" s="360"/>
      <c r="N89" s="360"/>
    </row>
    <row r="90" spans="1:14" s="375" customFormat="1" x14ac:dyDescent="0.25">
      <c r="A90" s="376"/>
      <c r="B90" s="360"/>
      <c r="C90" s="381"/>
      <c r="D90" s="787"/>
      <c r="E90" s="382"/>
      <c r="G90" s="360"/>
      <c r="H90" s="373"/>
      <c r="I90" s="360"/>
      <c r="J90" s="360"/>
      <c r="K90" s="360"/>
      <c r="L90" s="360"/>
      <c r="M90" s="360"/>
      <c r="N90" s="360"/>
    </row>
    <row r="91" spans="1:14" s="375" customFormat="1" x14ac:dyDescent="0.25">
      <c r="A91" s="376"/>
      <c r="B91" s="360"/>
      <c r="C91" s="381"/>
      <c r="D91" s="787"/>
      <c r="E91" s="382"/>
      <c r="G91" s="360"/>
      <c r="H91" s="373"/>
      <c r="I91" s="360"/>
      <c r="J91" s="360"/>
      <c r="K91" s="360"/>
      <c r="L91" s="360"/>
      <c r="M91" s="360"/>
      <c r="N91" s="360"/>
    </row>
    <row r="92" spans="1:14" s="375" customFormat="1" x14ac:dyDescent="0.25">
      <c r="A92" s="376"/>
      <c r="B92" s="360"/>
      <c r="C92" s="381"/>
      <c r="D92" s="787"/>
      <c r="E92" s="382"/>
      <c r="G92" s="360"/>
      <c r="H92" s="373"/>
      <c r="I92" s="360"/>
      <c r="J92" s="360"/>
      <c r="K92" s="360"/>
      <c r="L92" s="360"/>
      <c r="M92" s="360"/>
      <c r="N92" s="360"/>
    </row>
    <row r="93" spans="1:14" s="375" customFormat="1" x14ac:dyDescent="0.25">
      <c r="A93" s="376"/>
      <c r="B93" s="360"/>
      <c r="C93" s="381"/>
      <c r="D93" s="787"/>
      <c r="E93" s="382"/>
      <c r="G93" s="360"/>
      <c r="H93" s="373"/>
      <c r="I93" s="360"/>
      <c r="J93" s="360"/>
      <c r="K93" s="360"/>
      <c r="L93" s="360"/>
      <c r="M93" s="360"/>
      <c r="N93" s="360"/>
    </row>
    <row r="94" spans="1:14" s="375" customFormat="1" x14ac:dyDescent="0.25">
      <c r="A94" s="376"/>
      <c r="B94" s="360"/>
      <c r="C94" s="381"/>
      <c r="D94" s="787"/>
      <c r="E94" s="382"/>
      <c r="G94" s="360"/>
      <c r="H94" s="373"/>
      <c r="I94" s="360"/>
      <c r="J94" s="360"/>
      <c r="K94" s="360"/>
      <c r="L94" s="360"/>
      <c r="M94" s="360"/>
      <c r="N94" s="360"/>
    </row>
    <row r="95" spans="1:14" s="375" customFormat="1" x14ac:dyDescent="0.25">
      <c r="A95" s="376"/>
      <c r="B95" s="360"/>
      <c r="C95" s="381"/>
      <c r="D95" s="787"/>
      <c r="E95" s="382"/>
      <c r="G95" s="360"/>
      <c r="H95" s="373"/>
      <c r="I95" s="360"/>
      <c r="J95" s="360"/>
      <c r="K95" s="360"/>
      <c r="L95" s="360"/>
      <c r="M95" s="360"/>
      <c r="N95" s="360"/>
    </row>
    <row r="96" spans="1:14" s="375" customFormat="1" x14ac:dyDescent="0.25">
      <c r="A96" s="376"/>
      <c r="B96" s="360"/>
      <c r="C96" s="381"/>
      <c r="D96" s="787"/>
      <c r="E96" s="382"/>
      <c r="G96" s="360"/>
      <c r="H96" s="373"/>
      <c r="I96" s="360"/>
      <c r="J96" s="360"/>
      <c r="K96" s="360"/>
      <c r="L96" s="360"/>
      <c r="M96" s="360"/>
      <c r="N96" s="360"/>
    </row>
    <row r="97" spans="1:14" s="375" customFormat="1" x14ac:dyDescent="0.25">
      <c r="A97" s="376"/>
      <c r="B97" s="360"/>
      <c r="C97" s="381"/>
      <c r="D97" s="787"/>
      <c r="E97" s="382"/>
      <c r="G97" s="360"/>
      <c r="H97" s="373"/>
      <c r="I97" s="360"/>
      <c r="J97" s="360"/>
      <c r="K97" s="360"/>
      <c r="L97" s="360"/>
      <c r="M97" s="360"/>
      <c r="N97" s="360"/>
    </row>
    <row r="98" spans="1:14" s="375" customFormat="1" x14ac:dyDescent="0.25">
      <c r="A98" s="376"/>
      <c r="B98" s="360"/>
      <c r="C98" s="381"/>
      <c r="D98" s="787"/>
      <c r="E98" s="382"/>
      <c r="G98" s="360"/>
      <c r="H98" s="373"/>
      <c r="I98" s="360"/>
      <c r="J98" s="360"/>
      <c r="K98" s="360"/>
      <c r="L98" s="360"/>
      <c r="M98" s="360"/>
      <c r="N98" s="360"/>
    </row>
    <row r="99" spans="1:14" s="375" customFormat="1" x14ac:dyDescent="0.25">
      <c r="A99" s="360"/>
      <c r="B99" s="360"/>
      <c r="C99" s="381"/>
      <c r="D99" s="787"/>
      <c r="E99" s="382"/>
      <c r="G99" s="360"/>
      <c r="H99" s="373"/>
      <c r="I99" s="360"/>
      <c r="J99" s="360"/>
      <c r="K99" s="360"/>
      <c r="L99" s="360"/>
      <c r="M99" s="360"/>
      <c r="N99" s="360"/>
    </row>
    <row r="100" spans="1:14" s="375" customFormat="1" x14ac:dyDescent="0.25">
      <c r="A100" s="360"/>
      <c r="B100" s="360"/>
      <c r="C100" s="381"/>
      <c r="D100" s="787"/>
      <c r="E100" s="382"/>
      <c r="G100" s="360"/>
      <c r="H100" s="373"/>
      <c r="I100" s="360"/>
      <c r="J100" s="360"/>
      <c r="K100" s="360"/>
      <c r="L100" s="360"/>
      <c r="M100" s="360"/>
      <c r="N100" s="360"/>
    </row>
    <row r="101" spans="1:14" s="375" customFormat="1" x14ac:dyDescent="0.25">
      <c r="A101" s="360"/>
      <c r="B101" s="360"/>
      <c r="C101" s="381"/>
      <c r="D101" s="787"/>
      <c r="E101" s="382"/>
      <c r="G101" s="360"/>
      <c r="H101" s="373"/>
      <c r="I101" s="360"/>
      <c r="J101" s="360"/>
      <c r="K101" s="360"/>
      <c r="L101" s="360"/>
      <c r="M101" s="360"/>
      <c r="N101" s="360"/>
    </row>
    <row r="102" spans="1:14" x14ac:dyDescent="0.25">
      <c r="C102" s="381"/>
      <c r="D102" s="787"/>
      <c r="E102" s="382"/>
    </row>
    <row r="103" spans="1:14" x14ac:dyDescent="0.25">
      <c r="C103" s="381"/>
      <c r="D103" s="787"/>
      <c r="E103" s="382"/>
    </row>
    <row r="104" spans="1:14" x14ac:dyDescent="0.25">
      <c r="C104" s="381"/>
      <c r="D104" s="787"/>
      <c r="E104" s="382"/>
    </row>
    <row r="105" spans="1:14" x14ac:dyDescent="0.25">
      <c r="C105" s="384"/>
      <c r="D105" s="786"/>
      <c r="E105" s="380"/>
      <c r="G105" s="385"/>
      <c r="H105" s="386"/>
    </row>
    <row r="106" spans="1:14" x14ac:dyDescent="0.25">
      <c r="B106" s="385"/>
      <c r="C106" s="384"/>
      <c r="D106" s="786"/>
      <c r="E106" s="380"/>
      <c r="F106" s="380"/>
      <c r="G106" s="387"/>
      <c r="H106" s="569"/>
    </row>
    <row r="107" spans="1:14" x14ac:dyDescent="0.25">
      <c r="B107" s="385"/>
      <c r="C107" s="384"/>
      <c r="G107" s="385"/>
      <c r="H107" s="386"/>
    </row>
    <row r="108" spans="1:14" x14ac:dyDescent="0.25">
      <c r="B108" s="385"/>
      <c r="C108" s="384"/>
      <c r="G108" s="385"/>
      <c r="H108" s="386"/>
    </row>
    <row r="109" spans="1:14" x14ac:dyDescent="0.25">
      <c r="C109" s="384"/>
      <c r="G109" s="385"/>
      <c r="H109" s="386"/>
    </row>
    <row r="110" spans="1:14" x14ac:dyDescent="0.25">
      <c r="A110" s="383"/>
      <c r="C110" s="384"/>
      <c r="G110" s="385"/>
      <c r="H110" s="386"/>
    </row>
    <row r="111" spans="1:14" x14ac:dyDescent="0.25">
      <c r="A111" s="383"/>
      <c r="B111" s="570"/>
      <c r="C111" s="384"/>
      <c r="G111" s="385"/>
      <c r="H111" s="386"/>
      <c r="I111" s="385"/>
      <c r="J111" s="385"/>
      <c r="K111" s="385"/>
      <c r="L111" s="385"/>
      <c r="M111" s="385"/>
    </row>
    <row r="112" spans="1:14" x14ac:dyDescent="0.25">
      <c r="A112" s="383"/>
      <c r="C112" s="384"/>
      <c r="G112" s="385"/>
      <c r="H112" s="386"/>
      <c r="I112" s="387"/>
      <c r="J112" s="387"/>
      <c r="K112" s="387"/>
      <c r="L112" s="387"/>
      <c r="M112" s="387"/>
    </row>
    <row r="113" spans="1:13" x14ac:dyDescent="0.25">
      <c r="A113" s="383"/>
      <c r="B113" s="385"/>
      <c r="C113" s="384"/>
      <c r="G113" s="385"/>
      <c r="H113" s="386"/>
      <c r="I113" s="385"/>
      <c r="J113" s="385"/>
      <c r="K113" s="385"/>
      <c r="L113" s="385"/>
      <c r="M113" s="385"/>
    </row>
    <row r="114" spans="1:13" x14ac:dyDescent="0.25">
      <c r="A114" s="383"/>
      <c r="B114" s="385"/>
      <c r="C114" s="384"/>
      <c r="G114" s="385"/>
      <c r="H114" s="386"/>
      <c r="I114" s="385"/>
      <c r="J114" s="385"/>
      <c r="K114" s="385"/>
      <c r="L114" s="385"/>
      <c r="M114" s="385"/>
    </row>
    <row r="115" spans="1:13" x14ac:dyDescent="0.25">
      <c r="A115" s="383"/>
      <c r="B115" s="385"/>
      <c r="C115" s="384"/>
      <c r="G115" s="385"/>
      <c r="H115" s="386"/>
      <c r="I115" s="385"/>
      <c r="J115" s="385"/>
      <c r="K115" s="385"/>
      <c r="L115" s="385"/>
      <c r="M115" s="385"/>
    </row>
    <row r="116" spans="1:13" x14ac:dyDescent="0.25">
      <c r="A116" s="383"/>
      <c r="B116" s="385"/>
      <c r="C116" s="384"/>
      <c r="G116" s="385"/>
      <c r="H116" s="386"/>
      <c r="I116" s="385"/>
      <c r="J116" s="385"/>
      <c r="K116" s="385"/>
      <c r="L116" s="385"/>
      <c r="M116" s="385"/>
    </row>
    <row r="117" spans="1:13" x14ac:dyDescent="0.25">
      <c r="A117" s="383"/>
      <c r="B117" s="385"/>
      <c r="C117" s="384"/>
      <c r="G117" s="385"/>
      <c r="H117" s="386"/>
      <c r="I117" s="385"/>
      <c r="J117" s="385"/>
      <c r="K117" s="385"/>
      <c r="L117" s="385"/>
      <c r="M117" s="385"/>
    </row>
    <row r="118" spans="1:13" x14ac:dyDescent="0.25">
      <c r="A118" s="383"/>
      <c r="B118" s="385"/>
      <c r="C118" s="384"/>
      <c r="G118" s="385"/>
      <c r="H118" s="386"/>
      <c r="I118" s="385"/>
      <c r="J118" s="385"/>
      <c r="K118" s="385"/>
      <c r="L118" s="385"/>
      <c r="M118" s="385"/>
    </row>
    <row r="119" spans="1:13" x14ac:dyDescent="0.25">
      <c r="A119" s="383"/>
      <c r="C119" s="384"/>
      <c r="G119" s="385"/>
      <c r="H119" s="386"/>
      <c r="I119" s="385"/>
      <c r="J119" s="385"/>
      <c r="K119" s="385"/>
      <c r="L119" s="385"/>
      <c r="M119" s="385"/>
    </row>
    <row r="120" spans="1:13" x14ac:dyDescent="0.25">
      <c r="A120" s="383"/>
      <c r="B120" s="385"/>
      <c r="C120" s="384"/>
      <c r="G120" s="385"/>
      <c r="H120" s="386"/>
      <c r="I120" s="385"/>
      <c r="J120" s="385"/>
      <c r="K120" s="385"/>
      <c r="L120" s="385"/>
      <c r="M120" s="385"/>
    </row>
    <row r="121" spans="1:13" x14ac:dyDescent="0.25">
      <c r="A121" s="383"/>
      <c r="B121" s="385"/>
      <c r="C121" s="384"/>
      <c r="G121" s="385"/>
      <c r="H121" s="386"/>
      <c r="I121" s="385"/>
      <c r="J121" s="385"/>
      <c r="K121" s="385"/>
      <c r="L121" s="385"/>
      <c r="M121" s="385"/>
    </row>
    <row r="122" spans="1:13" x14ac:dyDescent="0.25">
      <c r="A122" s="383"/>
      <c r="B122" s="385"/>
      <c r="C122" s="384"/>
      <c r="G122" s="385"/>
      <c r="H122" s="386"/>
      <c r="I122" s="385"/>
      <c r="J122" s="385"/>
      <c r="K122" s="385"/>
      <c r="L122" s="385"/>
      <c r="M122" s="385"/>
    </row>
    <row r="123" spans="1:13" x14ac:dyDescent="0.25">
      <c r="A123" s="383"/>
      <c r="B123" s="570"/>
      <c r="C123" s="384"/>
      <c r="G123" s="385"/>
      <c r="H123" s="386"/>
      <c r="I123" s="385"/>
      <c r="J123" s="385"/>
      <c r="K123" s="385"/>
      <c r="L123" s="385"/>
      <c r="M123" s="385"/>
    </row>
    <row r="124" spans="1:13" x14ac:dyDescent="0.25">
      <c r="B124" s="385"/>
      <c r="C124" s="384"/>
      <c r="G124" s="385"/>
      <c r="H124" s="386"/>
      <c r="I124" s="385"/>
      <c r="J124" s="385"/>
      <c r="K124" s="385"/>
      <c r="L124" s="385"/>
      <c r="M124" s="385"/>
    </row>
    <row r="125" spans="1:13" x14ac:dyDescent="0.25">
      <c r="B125" s="385"/>
      <c r="C125" s="384"/>
      <c r="G125" s="385"/>
      <c r="H125" s="386"/>
      <c r="I125" s="385"/>
      <c r="J125" s="385"/>
      <c r="K125" s="385"/>
      <c r="L125" s="385"/>
      <c r="M125" s="385"/>
    </row>
    <row r="126" spans="1:13" x14ac:dyDescent="0.25">
      <c r="B126" s="385"/>
      <c r="C126" s="384"/>
      <c r="G126" s="385"/>
      <c r="H126" s="386"/>
      <c r="I126" s="385"/>
      <c r="J126" s="385"/>
      <c r="K126" s="385"/>
      <c r="L126" s="385"/>
      <c r="M126" s="385"/>
    </row>
    <row r="127" spans="1:13" x14ac:dyDescent="0.25">
      <c r="B127" s="385"/>
      <c r="C127" s="384"/>
      <c r="G127" s="385"/>
      <c r="H127" s="386"/>
      <c r="I127" s="385"/>
      <c r="J127" s="385"/>
      <c r="K127" s="385"/>
      <c r="L127" s="385"/>
      <c r="M127" s="385"/>
    </row>
    <row r="128" spans="1:13" x14ac:dyDescent="0.25">
      <c r="B128" s="385"/>
      <c r="C128" s="384"/>
      <c r="G128" s="385"/>
      <c r="H128" s="386"/>
      <c r="I128" s="385"/>
      <c r="J128" s="385"/>
      <c r="K128" s="385"/>
      <c r="L128" s="385"/>
      <c r="M128" s="385"/>
    </row>
    <row r="129" spans="2:13" x14ac:dyDescent="0.25">
      <c r="B129" s="385"/>
      <c r="C129" s="384"/>
      <c r="G129" s="385"/>
      <c r="H129" s="386"/>
      <c r="I129" s="385"/>
      <c r="J129" s="385"/>
      <c r="K129" s="385"/>
      <c r="L129" s="385"/>
      <c r="M129" s="385"/>
    </row>
    <row r="130" spans="2:13" x14ac:dyDescent="0.25">
      <c r="B130" s="385"/>
      <c r="C130" s="384"/>
      <c r="G130" s="385"/>
      <c r="H130" s="386"/>
      <c r="I130" s="385"/>
      <c r="J130" s="385"/>
      <c r="K130" s="385"/>
      <c r="L130" s="385"/>
      <c r="M130" s="385"/>
    </row>
    <row r="131" spans="2:13" x14ac:dyDescent="0.25">
      <c r="B131" s="385"/>
      <c r="C131" s="384"/>
      <c r="G131" s="385"/>
      <c r="H131" s="386"/>
      <c r="I131" s="385"/>
      <c r="J131" s="385"/>
      <c r="K131" s="385"/>
      <c r="L131" s="385"/>
      <c r="M131" s="385"/>
    </row>
    <row r="132" spans="2:13" x14ac:dyDescent="0.25">
      <c r="B132" s="379"/>
      <c r="C132" s="384"/>
      <c r="G132" s="385"/>
      <c r="H132" s="386"/>
      <c r="I132" s="385"/>
      <c r="J132" s="385"/>
      <c r="K132" s="385"/>
      <c r="L132" s="385"/>
      <c r="M132" s="385"/>
    </row>
    <row r="133" spans="2:13" x14ac:dyDescent="0.25">
      <c r="C133" s="384"/>
      <c r="G133" s="385"/>
      <c r="H133" s="386"/>
      <c r="I133" s="385"/>
      <c r="J133" s="385"/>
      <c r="K133" s="385"/>
      <c r="L133" s="385"/>
      <c r="M133" s="385"/>
    </row>
    <row r="134" spans="2:13" x14ac:dyDescent="0.25">
      <c r="B134" s="379"/>
      <c r="C134" s="384"/>
      <c r="G134" s="385"/>
      <c r="H134" s="386"/>
      <c r="I134" s="385"/>
      <c r="J134" s="385"/>
      <c r="K134" s="385"/>
      <c r="L134" s="385"/>
      <c r="M134" s="385"/>
    </row>
    <row r="135" spans="2:13" x14ac:dyDescent="0.25">
      <c r="C135" s="384"/>
      <c r="G135" s="385"/>
      <c r="H135" s="386"/>
      <c r="I135" s="385"/>
      <c r="J135" s="385"/>
      <c r="K135" s="385"/>
      <c r="L135" s="385"/>
      <c r="M135" s="385"/>
    </row>
    <row r="136" spans="2:13" x14ac:dyDescent="0.25">
      <c r="B136" s="385"/>
      <c r="C136" s="384"/>
      <c r="G136" s="385"/>
      <c r="H136" s="386"/>
      <c r="I136" s="385"/>
      <c r="J136" s="385"/>
      <c r="K136" s="385"/>
      <c r="L136" s="385"/>
      <c r="M136" s="385"/>
    </row>
    <row r="137" spans="2:13" x14ac:dyDescent="0.25">
      <c r="B137" s="385"/>
      <c r="C137" s="384"/>
      <c r="G137" s="385"/>
      <c r="H137" s="386"/>
      <c r="I137" s="385"/>
      <c r="J137" s="385"/>
      <c r="K137" s="385"/>
      <c r="L137" s="385"/>
      <c r="M137" s="385"/>
    </row>
    <row r="138" spans="2:13" x14ac:dyDescent="0.25">
      <c r="B138" s="385"/>
      <c r="C138" s="384"/>
      <c r="G138" s="385"/>
      <c r="H138" s="386"/>
      <c r="I138" s="385"/>
      <c r="J138" s="385"/>
      <c r="K138" s="385"/>
      <c r="L138" s="385"/>
      <c r="M138" s="385"/>
    </row>
    <row r="139" spans="2:13" x14ac:dyDescent="0.25">
      <c r="B139" s="379"/>
      <c r="C139" s="384"/>
      <c r="G139" s="385"/>
      <c r="H139" s="386"/>
      <c r="I139" s="385"/>
      <c r="J139" s="385"/>
      <c r="K139" s="385"/>
      <c r="L139" s="385"/>
      <c r="M139" s="385"/>
    </row>
    <row r="140" spans="2:13" x14ac:dyDescent="0.25">
      <c r="C140" s="384"/>
      <c r="G140" s="385"/>
      <c r="H140" s="386"/>
      <c r="I140" s="385"/>
      <c r="J140" s="385"/>
      <c r="K140" s="385"/>
      <c r="L140" s="385"/>
      <c r="M140" s="385"/>
    </row>
    <row r="141" spans="2:13" x14ac:dyDescent="0.25">
      <c r="B141" s="385"/>
      <c r="C141" s="384"/>
      <c r="G141" s="385"/>
      <c r="H141" s="386"/>
      <c r="I141" s="385"/>
      <c r="J141" s="385"/>
      <c r="K141" s="385"/>
      <c r="L141" s="385"/>
      <c r="M141" s="385"/>
    </row>
    <row r="142" spans="2:13" x14ac:dyDescent="0.25">
      <c r="B142" s="385"/>
      <c r="C142" s="384"/>
      <c r="G142" s="385"/>
      <c r="H142" s="386"/>
      <c r="I142" s="385"/>
      <c r="J142" s="385"/>
      <c r="K142" s="385"/>
      <c r="L142" s="385"/>
      <c r="M142" s="385"/>
    </row>
    <row r="143" spans="2:13" x14ac:dyDescent="0.25">
      <c r="B143" s="379"/>
      <c r="C143" s="384"/>
      <c r="G143" s="385"/>
      <c r="H143" s="386"/>
      <c r="I143" s="385"/>
      <c r="J143" s="385"/>
      <c r="K143" s="385"/>
      <c r="L143" s="385"/>
      <c r="M143" s="385"/>
    </row>
    <row r="144" spans="2:13" x14ac:dyDescent="0.25">
      <c r="C144" s="384"/>
      <c r="G144" s="385"/>
      <c r="H144" s="386"/>
      <c r="I144" s="385"/>
      <c r="J144" s="385"/>
      <c r="K144" s="385"/>
      <c r="L144" s="385"/>
      <c r="M144" s="385"/>
    </row>
    <row r="145" spans="1:13" x14ac:dyDescent="0.25">
      <c r="B145" s="570"/>
      <c r="C145" s="390"/>
      <c r="G145" s="385"/>
      <c r="H145" s="386"/>
      <c r="I145" s="385"/>
      <c r="J145" s="385"/>
      <c r="K145" s="385"/>
      <c r="L145" s="385"/>
      <c r="M145" s="385"/>
    </row>
    <row r="146" spans="1:13" x14ac:dyDescent="0.25">
      <c r="B146" s="379"/>
      <c r="C146" s="384"/>
      <c r="G146" s="385"/>
      <c r="H146" s="386"/>
      <c r="I146" s="385"/>
      <c r="J146" s="385"/>
      <c r="K146" s="385"/>
      <c r="L146" s="385"/>
      <c r="M146" s="385"/>
    </row>
    <row r="147" spans="1:13" x14ac:dyDescent="0.25">
      <c r="B147" s="379"/>
      <c r="C147" s="384"/>
      <c r="G147" s="385"/>
      <c r="H147" s="386"/>
      <c r="I147" s="385"/>
      <c r="J147" s="385"/>
      <c r="K147" s="385"/>
      <c r="L147" s="385"/>
      <c r="M147" s="385"/>
    </row>
    <row r="148" spans="1:13" x14ac:dyDescent="0.25">
      <c r="C148" s="384"/>
      <c r="G148" s="385"/>
      <c r="H148" s="386"/>
      <c r="I148" s="385"/>
      <c r="J148" s="385"/>
      <c r="K148" s="385"/>
      <c r="L148" s="385"/>
      <c r="M148" s="385"/>
    </row>
    <row r="149" spans="1:13" x14ac:dyDescent="0.25">
      <c r="G149" s="385"/>
      <c r="H149" s="386"/>
      <c r="I149" s="385"/>
      <c r="J149" s="385"/>
      <c r="K149" s="385"/>
      <c r="L149" s="385"/>
      <c r="M149" s="385"/>
    </row>
    <row r="150" spans="1:13" x14ac:dyDescent="0.25">
      <c r="C150" s="390"/>
      <c r="G150" s="391"/>
      <c r="H150" s="571"/>
      <c r="I150" s="385"/>
      <c r="J150" s="385"/>
      <c r="K150" s="385"/>
      <c r="L150" s="385"/>
      <c r="M150" s="385"/>
    </row>
    <row r="151" spans="1:13" x14ac:dyDescent="0.25">
      <c r="C151" s="390"/>
      <c r="G151" s="391"/>
      <c r="H151" s="571"/>
      <c r="I151" s="385"/>
      <c r="J151" s="385"/>
      <c r="K151" s="385"/>
      <c r="L151" s="385"/>
      <c r="M151" s="385"/>
    </row>
    <row r="152" spans="1:13" x14ac:dyDescent="0.25">
      <c r="I152" s="385"/>
      <c r="J152" s="385"/>
      <c r="K152" s="385"/>
      <c r="L152" s="385"/>
      <c r="M152" s="385"/>
    </row>
    <row r="153" spans="1:13" x14ac:dyDescent="0.25">
      <c r="C153" s="381"/>
      <c r="D153" s="787"/>
      <c r="E153" s="382"/>
      <c r="I153" s="385"/>
      <c r="J153" s="385"/>
      <c r="K153" s="385"/>
      <c r="L153" s="385"/>
      <c r="M153" s="385"/>
    </row>
    <row r="154" spans="1:13" x14ac:dyDescent="0.25">
      <c r="B154" s="385"/>
      <c r="C154" s="384"/>
      <c r="D154" s="786"/>
      <c r="E154" s="380"/>
      <c r="G154" s="385"/>
      <c r="H154" s="386"/>
      <c r="I154" s="385"/>
      <c r="J154" s="385"/>
      <c r="K154" s="385"/>
      <c r="L154" s="385"/>
      <c r="M154" s="385"/>
    </row>
    <row r="155" spans="1:13" x14ac:dyDescent="0.25">
      <c r="B155" s="385"/>
      <c r="C155" s="384"/>
      <c r="D155" s="786"/>
      <c r="E155" s="380"/>
      <c r="F155" s="380"/>
      <c r="G155" s="387"/>
      <c r="H155" s="569"/>
      <c r="I155" s="385"/>
      <c r="J155" s="385"/>
      <c r="K155" s="385"/>
      <c r="L155" s="385"/>
      <c r="M155" s="385"/>
    </row>
    <row r="156" spans="1:13" x14ac:dyDescent="0.25">
      <c r="B156" s="385"/>
      <c r="C156" s="384"/>
      <c r="G156" s="385"/>
      <c r="H156" s="386"/>
      <c r="I156" s="391"/>
      <c r="J156" s="391"/>
      <c r="K156" s="391"/>
      <c r="L156" s="391"/>
      <c r="M156" s="391"/>
    </row>
    <row r="157" spans="1:13" x14ac:dyDescent="0.25">
      <c r="B157" s="385"/>
      <c r="C157" s="384"/>
      <c r="G157" s="385"/>
      <c r="H157" s="386"/>
      <c r="I157" s="391"/>
      <c r="J157" s="391"/>
      <c r="K157" s="391"/>
      <c r="L157" s="391"/>
      <c r="M157" s="391"/>
    </row>
    <row r="158" spans="1:13" x14ac:dyDescent="0.25">
      <c r="A158" s="381"/>
      <c r="B158" s="385"/>
      <c r="C158" s="384"/>
      <c r="G158" s="385"/>
      <c r="H158" s="386"/>
    </row>
    <row r="159" spans="1:13" x14ac:dyDescent="0.25">
      <c r="B159" s="385"/>
      <c r="C159" s="384"/>
      <c r="G159" s="385"/>
      <c r="H159" s="386"/>
    </row>
    <row r="160" spans="1:13" x14ac:dyDescent="0.25">
      <c r="B160" s="570"/>
      <c r="C160" s="384"/>
      <c r="G160" s="385"/>
      <c r="H160" s="386"/>
      <c r="I160" s="385"/>
      <c r="J160" s="385"/>
      <c r="K160" s="385"/>
      <c r="L160" s="385"/>
      <c r="M160" s="385"/>
    </row>
    <row r="161" spans="2:13" x14ac:dyDescent="0.25">
      <c r="C161" s="384"/>
      <c r="G161" s="385"/>
      <c r="H161" s="386"/>
      <c r="I161" s="387"/>
      <c r="J161" s="387"/>
      <c r="K161" s="387"/>
      <c r="L161" s="387"/>
      <c r="M161" s="387"/>
    </row>
    <row r="162" spans="2:13" x14ac:dyDescent="0.25">
      <c r="B162" s="385"/>
      <c r="C162" s="384"/>
      <c r="G162" s="385"/>
      <c r="H162" s="386"/>
      <c r="I162" s="385"/>
      <c r="J162" s="385"/>
      <c r="K162" s="385"/>
      <c r="L162" s="385"/>
      <c r="M162" s="385"/>
    </row>
    <row r="163" spans="2:13" x14ac:dyDescent="0.25">
      <c r="B163" s="385"/>
      <c r="C163" s="384"/>
      <c r="G163" s="385"/>
      <c r="H163" s="386"/>
      <c r="I163" s="385"/>
      <c r="J163" s="385"/>
      <c r="K163" s="385"/>
      <c r="L163" s="385"/>
      <c r="M163" s="385"/>
    </row>
    <row r="164" spans="2:13" x14ac:dyDescent="0.25">
      <c r="B164" s="385"/>
      <c r="C164" s="384"/>
      <c r="G164" s="385"/>
      <c r="H164" s="386"/>
      <c r="I164" s="385"/>
      <c r="J164" s="385"/>
      <c r="K164" s="385"/>
      <c r="L164" s="385"/>
      <c r="M164" s="385"/>
    </row>
    <row r="165" spans="2:13" x14ac:dyDescent="0.25">
      <c r="B165" s="385"/>
      <c r="C165" s="384"/>
      <c r="G165" s="385"/>
      <c r="H165" s="386"/>
      <c r="I165" s="385"/>
      <c r="J165" s="385"/>
      <c r="K165" s="385"/>
      <c r="L165" s="385"/>
      <c r="M165" s="385"/>
    </row>
    <row r="166" spans="2:13" x14ac:dyDescent="0.25">
      <c r="C166" s="384"/>
      <c r="G166" s="385"/>
      <c r="H166" s="386"/>
      <c r="I166" s="385"/>
      <c r="J166" s="385"/>
      <c r="K166" s="385"/>
      <c r="L166" s="385"/>
      <c r="M166" s="385"/>
    </row>
    <row r="167" spans="2:13" x14ac:dyDescent="0.25">
      <c r="B167" s="385"/>
      <c r="C167" s="384"/>
      <c r="G167" s="385"/>
      <c r="H167" s="386"/>
      <c r="I167" s="385"/>
      <c r="J167" s="385"/>
      <c r="K167" s="385"/>
      <c r="L167" s="385"/>
      <c r="M167" s="385"/>
    </row>
    <row r="168" spans="2:13" x14ac:dyDescent="0.25">
      <c r="B168" s="385"/>
      <c r="C168" s="384"/>
      <c r="G168" s="385"/>
      <c r="H168" s="386"/>
      <c r="I168" s="385"/>
      <c r="J168" s="385"/>
      <c r="K168" s="385"/>
      <c r="L168" s="385"/>
      <c r="M168" s="385"/>
    </row>
    <row r="169" spans="2:13" x14ac:dyDescent="0.25">
      <c r="B169" s="385"/>
      <c r="C169" s="384"/>
      <c r="G169" s="385"/>
      <c r="H169" s="386"/>
      <c r="I169" s="385"/>
      <c r="J169" s="385"/>
      <c r="K169" s="385"/>
      <c r="L169" s="385"/>
      <c r="M169" s="385"/>
    </row>
    <row r="170" spans="2:13" x14ac:dyDescent="0.25">
      <c r="B170" s="570"/>
      <c r="C170" s="384"/>
      <c r="G170" s="385"/>
      <c r="H170" s="386"/>
      <c r="I170" s="385"/>
      <c r="J170" s="385"/>
      <c r="K170" s="385"/>
      <c r="L170" s="385"/>
      <c r="M170" s="385"/>
    </row>
    <row r="171" spans="2:13" x14ac:dyDescent="0.25">
      <c r="B171" s="385"/>
      <c r="C171" s="384"/>
      <c r="G171" s="385"/>
      <c r="H171" s="386"/>
      <c r="I171" s="385"/>
      <c r="J171" s="385"/>
      <c r="K171" s="385"/>
      <c r="L171" s="385"/>
      <c r="M171" s="385"/>
    </row>
    <row r="172" spans="2:13" x14ac:dyDescent="0.25">
      <c r="B172" s="385"/>
      <c r="C172" s="384"/>
      <c r="G172" s="385"/>
      <c r="H172" s="386"/>
      <c r="I172" s="385"/>
      <c r="J172" s="385"/>
      <c r="K172" s="385"/>
      <c r="L172" s="385"/>
      <c r="M172" s="385"/>
    </row>
    <row r="173" spans="2:13" x14ac:dyDescent="0.25">
      <c r="B173" s="385"/>
      <c r="C173" s="384"/>
      <c r="G173" s="385"/>
      <c r="H173" s="386"/>
      <c r="I173" s="385"/>
      <c r="J173" s="385"/>
      <c r="K173" s="385"/>
      <c r="L173" s="385"/>
      <c r="M173" s="385"/>
    </row>
    <row r="174" spans="2:13" x14ac:dyDescent="0.25">
      <c r="B174" s="385"/>
      <c r="C174" s="384"/>
      <c r="G174" s="385"/>
      <c r="H174" s="386"/>
      <c r="I174" s="385"/>
      <c r="J174" s="385"/>
      <c r="K174" s="385"/>
      <c r="L174" s="385"/>
      <c r="M174" s="385"/>
    </row>
    <row r="175" spans="2:13" x14ac:dyDescent="0.25">
      <c r="B175" s="385"/>
      <c r="C175" s="384"/>
      <c r="G175" s="385"/>
      <c r="H175" s="386"/>
      <c r="I175" s="385"/>
      <c r="J175" s="385"/>
      <c r="K175" s="385"/>
      <c r="L175" s="385"/>
      <c r="M175" s="385"/>
    </row>
    <row r="176" spans="2:13" x14ac:dyDescent="0.25">
      <c r="B176" s="385"/>
      <c r="C176" s="384"/>
      <c r="G176" s="385"/>
      <c r="H176" s="386"/>
      <c r="I176" s="385"/>
      <c r="J176" s="385"/>
      <c r="K176" s="385"/>
      <c r="L176" s="385"/>
      <c r="M176" s="385"/>
    </row>
    <row r="177" spans="2:13" x14ac:dyDescent="0.25">
      <c r="B177" s="385"/>
      <c r="C177" s="384"/>
      <c r="G177" s="385"/>
      <c r="H177" s="386"/>
      <c r="I177" s="385"/>
      <c r="J177" s="385"/>
      <c r="K177" s="385"/>
      <c r="L177" s="385"/>
      <c r="M177" s="385"/>
    </row>
    <row r="178" spans="2:13" x14ac:dyDescent="0.25">
      <c r="B178" s="385"/>
      <c r="C178" s="384"/>
      <c r="G178" s="385"/>
      <c r="H178" s="386"/>
      <c r="I178" s="385"/>
      <c r="J178" s="385"/>
      <c r="K178" s="385"/>
      <c r="L178" s="385"/>
      <c r="M178" s="385"/>
    </row>
    <row r="179" spans="2:13" x14ac:dyDescent="0.25">
      <c r="B179" s="379"/>
      <c r="C179" s="384"/>
      <c r="G179" s="385"/>
      <c r="H179" s="386"/>
      <c r="I179" s="385"/>
      <c r="J179" s="385"/>
      <c r="K179" s="385"/>
      <c r="L179" s="385"/>
      <c r="M179" s="385"/>
    </row>
    <row r="180" spans="2:13" x14ac:dyDescent="0.25">
      <c r="C180" s="384"/>
      <c r="G180" s="385"/>
      <c r="H180" s="386"/>
      <c r="I180" s="385"/>
      <c r="J180" s="385"/>
      <c r="K180" s="385"/>
      <c r="L180" s="385"/>
      <c r="M180" s="385"/>
    </row>
    <row r="181" spans="2:13" x14ac:dyDescent="0.25">
      <c r="B181" s="379"/>
      <c r="C181" s="384"/>
      <c r="G181" s="385"/>
      <c r="H181" s="386"/>
      <c r="I181" s="385"/>
      <c r="J181" s="385"/>
      <c r="K181" s="385"/>
      <c r="L181" s="385"/>
      <c r="M181" s="385"/>
    </row>
    <row r="182" spans="2:13" x14ac:dyDescent="0.25">
      <c r="C182" s="384"/>
      <c r="G182" s="385"/>
      <c r="H182" s="386"/>
      <c r="I182" s="385"/>
      <c r="J182" s="385"/>
      <c r="K182" s="385"/>
      <c r="L182" s="385"/>
      <c r="M182" s="385"/>
    </row>
    <row r="183" spans="2:13" x14ac:dyDescent="0.25">
      <c r="B183" s="385"/>
      <c r="C183" s="384"/>
      <c r="G183" s="385"/>
      <c r="H183" s="386"/>
      <c r="I183" s="385"/>
      <c r="J183" s="385"/>
      <c r="K183" s="385"/>
      <c r="L183" s="385"/>
      <c r="M183" s="385"/>
    </row>
    <row r="184" spans="2:13" x14ac:dyDescent="0.25">
      <c r="B184" s="385"/>
      <c r="C184" s="384"/>
      <c r="G184" s="385"/>
      <c r="H184" s="386"/>
      <c r="I184" s="385"/>
      <c r="J184" s="385"/>
      <c r="K184" s="385"/>
      <c r="L184" s="385"/>
      <c r="M184" s="385"/>
    </row>
    <row r="185" spans="2:13" x14ac:dyDescent="0.25">
      <c r="B185" s="385"/>
      <c r="C185" s="384"/>
      <c r="G185" s="385"/>
      <c r="H185" s="386"/>
      <c r="I185" s="385"/>
      <c r="J185" s="385"/>
      <c r="K185" s="385"/>
      <c r="L185" s="385"/>
      <c r="M185" s="385"/>
    </row>
    <row r="186" spans="2:13" x14ac:dyDescent="0.25">
      <c r="B186" s="379"/>
      <c r="C186" s="384"/>
      <c r="G186" s="385"/>
      <c r="H186" s="386"/>
      <c r="I186" s="385"/>
      <c r="J186" s="385"/>
      <c r="K186" s="385"/>
      <c r="L186" s="385"/>
      <c r="M186" s="385"/>
    </row>
    <row r="187" spans="2:13" x14ac:dyDescent="0.25">
      <c r="C187" s="384"/>
      <c r="G187" s="385"/>
      <c r="H187" s="386"/>
      <c r="I187" s="385"/>
      <c r="J187" s="385"/>
      <c r="K187" s="385"/>
      <c r="L187" s="385"/>
      <c r="M187" s="385"/>
    </row>
    <row r="188" spans="2:13" x14ac:dyDescent="0.25">
      <c r="B188" s="385"/>
      <c r="C188" s="384"/>
      <c r="G188" s="385"/>
      <c r="H188" s="386"/>
      <c r="I188" s="385"/>
      <c r="J188" s="385"/>
      <c r="K188" s="385"/>
      <c r="L188" s="385"/>
      <c r="M188" s="385"/>
    </row>
    <row r="189" spans="2:13" x14ac:dyDescent="0.25">
      <c r="B189" s="385"/>
      <c r="C189" s="384"/>
      <c r="G189" s="385"/>
      <c r="H189" s="386"/>
      <c r="I189" s="385"/>
      <c r="J189" s="385"/>
      <c r="K189" s="385"/>
      <c r="L189" s="385"/>
      <c r="M189" s="385"/>
    </row>
    <row r="190" spans="2:13" x14ac:dyDescent="0.25">
      <c r="B190" s="379"/>
      <c r="C190" s="384"/>
      <c r="G190" s="385"/>
      <c r="H190" s="386"/>
      <c r="I190" s="385"/>
      <c r="J190" s="385"/>
      <c r="K190" s="385"/>
      <c r="L190" s="385"/>
      <c r="M190" s="385"/>
    </row>
    <row r="191" spans="2:13" x14ac:dyDescent="0.25">
      <c r="C191" s="384"/>
      <c r="G191" s="385"/>
      <c r="H191" s="386"/>
      <c r="I191" s="385"/>
      <c r="J191" s="385"/>
      <c r="K191" s="385"/>
      <c r="L191" s="385"/>
      <c r="M191" s="385"/>
    </row>
    <row r="192" spans="2:13" x14ac:dyDescent="0.25">
      <c r="B192" s="570"/>
      <c r="C192" s="390"/>
      <c r="G192" s="385"/>
      <c r="H192" s="386"/>
      <c r="I192" s="385"/>
      <c r="J192" s="385"/>
      <c r="K192" s="385"/>
      <c r="L192" s="385"/>
      <c r="M192" s="385"/>
    </row>
    <row r="193" spans="1:13" x14ac:dyDescent="0.25">
      <c r="B193" s="379"/>
      <c r="C193" s="384"/>
      <c r="G193" s="385"/>
      <c r="H193" s="386"/>
      <c r="I193" s="385"/>
      <c r="J193" s="385"/>
      <c r="K193" s="385"/>
      <c r="L193" s="385"/>
      <c r="M193" s="385"/>
    </row>
    <row r="194" spans="1:13" x14ac:dyDescent="0.25">
      <c r="B194" s="379"/>
      <c r="C194" s="384"/>
      <c r="G194" s="385"/>
      <c r="H194" s="386"/>
      <c r="I194" s="385"/>
      <c r="J194" s="385"/>
      <c r="K194" s="385"/>
      <c r="L194" s="385"/>
      <c r="M194" s="385"/>
    </row>
    <row r="195" spans="1:13" x14ac:dyDescent="0.25">
      <c r="C195" s="390"/>
      <c r="G195" s="385"/>
      <c r="H195" s="386"/>
      <c r="I195" s="385"/>
      <c r="J195" s="385"/>
      <c r="K195" s="385"/>
      <c r="L195" s="385"/>
      <c r="M195" s="385"/>
    </row>
    <row r="196" spans="1:13" x14ac:dyDescent="0.25">
      <c r="G196" s="385"/>
      <c r="H196" s="386"/>
      <c r="I196" s="385"/>
      <c r="J196" s="385"/>
      <c r="K196" s="385"/>
      <c r="L196" s="385"/>
      <c r="M196" s="385"/>
    </row>
    <row r="197" spans="1:13" x14ac:dyDescent="0.25">
      <c r="I197" s="385"/>
      <c r="J197" s="385"/>
      <c r="K197" s="385"/>
      <c r="L197" s="385"/>
      <c r="M197" s="385"/>
    </row>
    <row r="198" spans="1:13" x14ac:dyDescent="0.25">
      <c r="I198" s="385"/>
      <c r="J198" s="385"/>
      <c r="K198" s="385"/>
      <c r="L198" s="385"/>
      <c r="M198" s="385"/>
    </row>
    <row r="199" spans="1:13" x14ac:dyDescent="0.25">
      <c r="C199" s="381"/>
      <c r="D199" s="787"/>
      <c r="E199" s="382"/>
      <c r="I199" s="385"/>
      <c r="J199" s="385"/>
      <c r="K199" s="385"/>
      <c r="L199" s="385"/>
      <c r="M199" s="385"/>
    </row>
    <row r="200" spans="1:13" x14ac:dyDescent="0.25">
      <c r="B200" s="385"/>
      <c r="C200" s="384"/>
      <c r="D200" s="786"/>
      <c r="E200" s="380"/>
      <c r="G200" s="385"/>
      <c r="H200" s="386"/>
      <c r="I200" s="385"/>
      <c r="J200" s="385"/>
      <c r="K200" s="385"/>
      <c r="L200" s="385"/>
      <c r="M200" s="385"/>
    </row>
    <row r="201" spans="1:13" x14ac:dyDescent="0.25">
      <c r="B201" s="385"/>
      <c r="C201" s="384"/>
      <c r="D201" s="786"/>
      <c r="E201" s="380"/>
      <c r="F201" s="380"/>
      <c r="G201" s="387"/>
      <c r="H201" s="569"/>
      <c r="I201" s="385"/>
      <c r="J201" s="385"/>
      <c r="K201" s="385"/>
      <c r="L201" s="385"/>
      <c r="M201" s="385"/>
    </row>
    <row r="202" spans="1:13" x14ac:dyDescent="0.25">
      <c r="B202" s="385"/>
      <c r="C202" s="384"/>
      <c r="G202" s="385"/>
      <c r="H202" s="386"/>
      <c r="I202" s="385"/>
      <c r="J202" s="385"/>
      <c r="K202" s="385"/>
      <c r="L202" s="385"/>
      <c r="M202" s="385"/>
    </row>
    <row r="203" spans="1:13" x14ac:dyDescent="0.25">
      <c r="B203" s="385"/>
      <c r="C203" s="384"/>
      <c r="G203" s="385"/>
      <c r="H203" s="386"/>
      <c r="K203" s="391"/>
      <c r="L203" s="391"/>
      <c r="M203" s="391"/>
    </row>
    <row r="204" spans="1:13" x14ac:dyDescent="0.25">
      <c r="A204" s="381"/>
      <c r="B204" s="385"/>
      <c r="C204" s="384"/>
      <c r="G204" s="385"/>
      <c r="H204" s="386"/>
    </row>
    <row r="205" spans="1:13" x14ac:dyDescent="0.25">
      <c r="B205" s="385"/>
      <c r="C205" s="384"/>
      <c r="G205" s="385"/>
      <c r="H205" s="386"/>
    </row>
    <row r="206" spans="1:13" x14ac:dyDescent="0.25">
      <c r="B206" s="570"/>
      <c r="C206" s="384"/>
      <c r="G206" s="385"/>
      <c r="H206" s="386"/>
      <c r="I206" s="385"/>
      <c r="J206" s="385"/>
      <c r="K206" s="385"/>
      <c r="L206" s="385"/>
      <c r="M206" s="385"/>
    </row>
    <row r="207" spans="1:13" x14ac:dyDescent="0.25">
      <c r="C207" s="384"/>
      <c r="G207" s="385"/>
      <c r="H207" s="386"/>
      <c r="I207" s="387"/>
      <c r="J207" s="387"/>
      <c r="K207" s="387"/>
      <c r="L207" s="387"/>
      <c r="M207" s="387"/>
    </row>
    <row r="208" spans="1:13" x14ac:dyDescent="0.25">
      <c r="B208" s="385"/>
      <c r="C208" s="384"/>
      <c r="G208" s="385"/>
      <c r="H208" s="386"/>
      <c r="I208" s="385"/>
      <c r="J208" s="385"/>
      <c r="K208" s="385"/>
      <c r="L208" s="385"/>
      <c r="M208" s="385"/>
    </row>
    <row r="209" spans="2:13" x14ac:dyDescent="0.25">
      <c r="B209" s="385"/>
      <c r="C209" s="384"/>
      <c r="G209" s="385"/>
      <c r="H209" s="386"/>
      <c r="I209" s="385"/>
      <c r="J209" s="385"/>
      <c r="K209" s="385"/>
      <c r="L209" s="385"/>
      <c r="M209" s="385"/>
    </row>
    <row r="210" spans="2:13" x14ac:dyDescent="0.25">
      <c r="B210" s="385"/>
      <c r="C210" s="384"/>
      <c r="G210" s="385"/>
      <c r="H210" s="386"/>
      <c r="I210" s="385"/>
      <c r="J210" s="385"/>
      <c r="K210" s="385"/>
      <c r="L210" s="385"/>
      <c r="M210" s="385"/>
    </row>
    <row r="211" spans="2:13" x14ac:dyDescent="0.25">
      <c r="B211" s="385"/>
      <c r="C211" s="384"/>
      <c r="G211" s="385"/>
      <c r="H211" s="386"/>
      <c r="I211" s="385"/>
      <c r="J211" s="385"/>
      <c r="K211" s="385"/>
      <c r="L211" s="385"/>
      <c r="M211" s="385"/>
    </row>
    <row r="212" spans="2:13" x14ac:dyDescent="0.25">
      <c r="C212" s="384"/>
      <c r="G212" s="385"/>
      <c r="H212" s="386"/>
      <c r="I212" s="385"/>
      <c r="J212" s="385"/>
      <c r="K212" s="385"/>
      <c r="L212" s="385"/>
      <c r="M212" s="385"/>
    </row>
    <row r="213" spans="2:13" x14ac:dyDescent="0.25">
      <c r="B213" s="385"/>
      <c r="C213" s="384"/>
      <c r="G213" s="385"/>
      <c r="H213" s="386"/>
      <c r="I213" s="385"/>
      <c r="J213" s="385"/>
      <c r="K213" s="385"/>
      <c r="L213" s="385"/>
      <c r="M213" s="385"/>
    </row>
    <row r="214" spans="2:13" x14ac:dyDescent="0.25">
      <c r="B214" s="385"/>
      <c r="C214" s="384"/>
      <c r="G214" s="385"/>
      <c r="H214" s="386"/>
      <c r="I214" s="385"/>
      <c r="J214" s="385"/>
      <c r="K214" s="385"/>
      <c r="L214" s="385"/>
      <c r="M214" s="385"/>
    </row>
    <row r="215" spans="2:13" x14ac:dyDescent="0.25">
      <c r="B215" s="385"/>
      <c r="C215" s="384"/>
      <c r="G215" s="385"/>
      <c r="H215" s="386"/>
      <c r="I215" s="385"/>
      <c r="J215" s="385"/>
      <c r="K215" s="385"/>
      <c r="L215" s="385"/>
      <c r="M215" s="385"/>
    </row>
    <row r="216" spans="2:13" x14ac:dyDescent="0.25">
      <c r="B216" s="570"/>
      <c r="C216" s="384"/>
      <c r="G216" s="385"/>
      <c r="H216" s="386"/>
      <c r="I216" s="385"/>
      <c r="J216" s="385"/>
      <c r="K216" s="385"/>
      <c r="L216" s="385"/>
      <c r="M216" s="385"/>
    </row>
    <row r="217" spans="2:13" x14ac:dyDescent="0.25">
      <c r="B217" s="385"/>
      <c r="C217" s="384"/>
      <c r="G217" s="385"/>
      <c r="H217" s="386"/>
      <c r="I217" s="385"/>
      <c r="J217" s="385"/>
      <c r="K217" s="385"/>
      <c r="L217" s="385"/>
      <c r="M217" s="385"/>
    </row>
    <row r="218" spans="2:13" x14ac:dyDescent="0.25">
      <c r="B218" s="385"/>
      <c r="C218" s="384"/>
      <c r="G218" s="385"/>
      <c r="H218" s="386"/>
      <c r="I218" s="385"/>
      <c r="J218" s="385"/>
      <c r="K218" s="385"/>
      <c r="L218" s="385"/>
      <c r="M218" s="385"/>
    </row>
    <row r="219" spans="2:13" x14ac:dyDescent="0.25">
      <c r="B219" s="385"/>
      <c r="C219" s="384"/>
      <c r="G219" s="385"/>
      <c r="H219" s="386"/>
      <c r="I219" s="385"/>
      <c r="J219" s="385"/>
      <c r="K219" s="385"/>
      <c r="L219" s="385"/>
      <c r="M219" s="385"/>
    </row>
    <row r="220" spans="2:13" x14ac:dyDescent="0.25">
      <c r="B220" s="385"/>
      <c r="C220" s="384"/>
      <c r="G220" s="385"/>
      <c r="H220" s="386"/>
      <c r="I220" s="385"/>
      <c r="J220" s="385"/>
      <c r="K220" s="385"/>
      <c r="L220" s="385"/>
      <c r="M220" s="385"/>
    </row>
    <row r="221" spans="2:13" x14ac:dyDescent="0.25">
      <c r="B221" s="385"/>
      <c r="C221" s="384"/>
      <c r="G221" s="385"/>
      <c r="H221" s="386"/>
      <c r="I221" s="385"/>
      <c r="J221" s="385"/>
      <c r="K221" s="385"/>
      <c r="L221" s="385"/>
      <c r="M221" s="385"/>
    </row>
    <row r="222" spans="2:13" x14ac:dyDescent="0.25">
      <c r="B222" s="385"/>
      <c r="C222" s="384"/>
      <c r="G222" s="385"/>
      <c r="H222" s="386"/>
      <c r="I222" s="385"/>
      <c r="J222" s="385"/>
      <c r="K222" s="385"/>
      <c r="L222" s="385"/>
      <c r="M222" s="385"/>
    </row>
    <row r="223" spans="2:13" x14ac:dyDescent="0.25">
      <c r="B223" s="385"/>
      <c r="C223" s="384"/>
      <c r="G223" s="385"/>
      <c r="H223" s="386"/>
      <c r="I223" s="385"/>
      <c r="J223" s="385"/>
      <c r="K223" s="385"/>
      <c r="L223" s="385"/>
      <c r="M223" s="385"/>
    </row>
    <row r="224" spans="2:13" x14ac:dyDescent="0.25">
      <c r="B224" s="385"/>
      <c r="C224" s="384"/>
      <c r="G224" s="385"/>
      <c r="H224" s="386"/>
      <c r="I224" s="385"/>
      <c r="J224" s="385"/>
      <c r="K224" s="385"/>
      <c r="L224" s="385"/>
      <c r="M224" s="385"/>
    </row>
    <row r="225" spans="2:13" x14ac:dyDescent="0.25">
      <c r="B225" s="379"/>
      <c r="C225" s="384"/>
      <c r="G225" s="385"/>
      <c r="H225" s="386"/>
      <c r="I225" s="385"/>
      <c r="J225" s="385"/>
      <c r="K225" s="385"/>
      <c r="L225" s="385"/>
      <c r="M225" s="385"/>
    </row>
    <row r="226" spans="2:13" x14ac:dyDescent="0.25">
      <c r="C226" s="384"/>
      <c r="G226" s="385"/>
      <c r="H226" s="386"/>
      <c r="I226" s="385"/>
      <c r="J226" s="385"/>
      <c r="K226" s="385"/>
      <c r="L226" s="385"/>
      <c r="M226" s="385"/>
    </row>
    <row r="227" spans="2:13" x14ac:dyDescent="0.25">
      <c r="B227" s="379"/>
      <c r="C227" s="384"/>
      <c r="G227" s="385"/>
      <c r="H227" s="386"/>
      <c r="I227" s="385"/>
      <c r="J227" s="385"/>
      <c r="K227" s="385"/>
      <c r="L227" s="385"/>
      <c r="M227" s="385"/>
    </row>
    <row r="228" spans="2:13" x14ac:dyDescent="0.25">
      <c r="C228" s="384"/>
      <c r="G228" s="385"/>
      <c r="H228" s="386"/>
      <c r="I228" s="385"/>
      <c r="J228" s="385"/>
      <c r="K228" s="385"/>
      <c r="L228" s="385"/>
      <c r="M228" s="385"/>
    </row>
    <row r="229" spans="2:13" x14ac:dyDescent="0.25">
      <c r="B229" s="385"/>
      <c r="C229" s="384"/>
      <c r="G229" s="385"/>
      <c r="H229" s="386"/>
      <c r="I229" s="385"/>
      <c r="J229" s="385"/>
      <c r="K229" s="385"/>
      <c r="L229" s="385"/>
      <c r="M229" s="385"/>
    </row>
    <row r="230" spans="2:13" x14ac:dyDescent="0.25">
      <c r="B230" s="385"/>
      <c r="C230" s="384"/>
      <c r="G230" s="385"/>
      <c r="H230" s="386"/>
      <c r="I230" s="385"/>
      <c r="J230" s="385"/>
      <c r="K230" s="385"/>
      <c r="L230" s="385"/>
      <c r="M230" s="385"/>
    </row>
    <row r="231" spans="2:13" x14ac:dyDescent="0.25">
      <c r="B231" s="385"/>
      <c r="C231" s="384"/>
      <c r="G231" s="385"/>
      <c r="H231" s="386"/>
      <c r="I231" s="385"/>
      <c r="J231" s="385"/>
      <c r="K231" s="385"/>
      <c r="L231" s="385"/>
      <c r="M231" s="385"/>
    </row>
    <row r="232" spans="2:13" x14ac:dyDescent="0.25">
      <c r="B232" s="379"/>
      <c r="C232" s="384"/>
      <c r="G232" s="385"/>
      <c r="H232" s="386"/>
      <c r="I232" s="385"/>
      <c r="J232" s="385"/>
      <c r="K232" s="385"/>
      <c r="L232" s="385"/>
      <c r="M232" s="385"/>
    </row>
    <row r="233" spans="2:13" x14ac:dyDescent="0.25">
      <c r="C233" s="384"/>
      <c r="G233" s="385"/>
      <c r="H233" s="386"/>
      <c r="I233" s="385"/>
      <c r="J233" s="385"/>
      <c r="K233" s="385"/>
      <c r="L233" s="385"/>
      <c r="M233" s="385"/>
    </row>
    <row r="234" spans="2:13" x14ac:dyDescent="0.25">
      <c r="B234" s="385"/>
      <c r="C234" s="384"/>
      <c r="G234" s="385"/>
      <c r="H234" s="386"/>
      <c r="I234" s="385"/>
      <c r="J234" s="385"/>
      <c r="K234" s="385"/>
      <c r="L234" s="385"/>
      <c r="M234" s="385"/>
    </row>
    <row r="235" spans="2:13" x14ac:dyDescent="0.25">
      <c r="B235" s="385"/>
      <c r="C235" s="384"/>
      <c r="G235" s="385"/>
      <c r="H235" s="386"/>
      <c r="I235" s="385"/>
      <c r="J235" s="385"/>
      <c r="K235" s="385"/>
      <c r="L235" s="385"/>
      <c r="M235" s="385"/>
    </row>
    <row r="236" spans="2:13" x14ac:dyDescent="0.25">
      <c r="B236" s="379"/>
      <c r="C236" s="384"/>
      <c r="G236" s="385"/>
      <c r="H236" s="386"/>
      <c r="I236" s="385"/>
      <c r="J236" s="385"/>
      <c r="K236" s="385"/>
      <c r="L236" s="385"/>
      <c r="M236" s="385"/>
    </row>
    <row r="237" spans="2:13" x14ac:dyDescent="0.25">
      <c r="C237" s="384"/>
      <c r="G237" s="385"/>
      <c r="H237" s="386"/>
      <c r="I237" s="385"/>
      <c r="J237" s="385"/>
      <c r="K237" s="385"/>
      <c r="L237" s="385"/>
      <c r="M237" s="385"/>
    </row>
    <row r="238" spans="2:13" x14ac:dyDescent="0.25">
      <c r="B238" s="570"/>
      <c r="C238" s="390"/>
      <c r="G238" s="385"/>
      <c r="H238" s="386"/>
      <c r="I238" s="385"/>
      <c r="J238" s="385"/>
      <c r="K238" s="385"/>
      <c r="L238" s="385"/>
      <c r="M238" s="385"/>
    </row>
    <row r="239" spans="2:13" x14ac:dyDescent="0.25">
      <c r="B239" s="379"/>
      <c r="C239" s="384"/>
      <c r="G239" s="385"/>
      <c r="H239" s="386"/>
      <c r="I239" s="385"/>
      <c r="J239" s="385"/>
      <c r="K239" s="385"/>
      <c r="L239" s="385"/>
      <c r="M239" s="385"/>
    </row>
    <row r="240" spans="2:13" x14ac:dyDescent="0.25">
      <c r="B240" s="379"/>
      <c r="C240" s="384"/>
      <c r="G240" s="385"/>
      <c r="H240" s="386"/>
      <c r="I240" s="385"/>
      <c r="J240" s="385"/>
      <c r="K240" s="385"/>
      <c r="L240" s="385"/>
      <c r="M240" s="385"/>
    </row>
    <row r="241" spans="1:13" x14ac:dyDescent="0.25">
      <c r="C241" s="390"/>
      <c r="G241" s="385"/>
      <c r="H241" s="386"/>
      <c r="I241" s="385"/>
      <c r="J241" s="385"/>
      <c r="K241" s="385"/>
      <c r="L241" s="385"/>
      <c r="M241" s="385"/>
    </row>
    <row r="242" spans="1:13" x14ac:dyDescent="0.25">
      <c r="G242" s="385"/>
      <c r="H242" s="386"/>
      <c r="I242" s="385"/>
      <c r="J242" s="385"/>
      <c r="K242" s="385"/>
      <c r="L242" s="385"/>
      <c r="M242" s="385"/>
    </row>
    <row r="243" spans="1:13" x14ac:dyDescent="0.25">
      <c r="I243" s="385"/>
      <c r="J243" s="385"/>
      <c r="K243" s="385"/>
      <c r="L243" s="385"/>
      <c r="M243" s="385"/>
    </row>
    <row r="244" spans="1:13" x14ac:dyDescent="0.25">
      <c r="I244" s="385"/>
      <c r="J244" s="385"/>
      <c r="K244" s="385"/>
      <c r="L244" s="385"/>
      <c r="M244" s="385"/>
    </row>
    <row r="245" spans="1:13" x14ac:dyDescent="0.25">
      <c r="I245" s="385"/>
      <c r="J245" s="385"/>
      <c r="K245" s="385"/>
      <c r="L245" s="385"/>
      <c r="M245" s="385"/>
    </row>
    <row r="246" spans="1:13" x14ac:dyDescent="0.25">
      <c r="C246" s="381"/>
      <c r="D246" s="787"/>
      <c r="E246" s="382"/>
      <c r="I246" s="385"/>
      <c r="J246" s="385"/>
      <c r="K246" s="385"/>
      <c r="L246" s="385"/>
      <c r="M246" s="385"/>
    </row>
    <row r="247" spans="1:13" x14ac:dyDescent="0.25">
      <c r="B247" s="385"/>
      <c r="C247" s="384"/>
      <c r="D247" s="786"/>
      <c r="E247" s="380"/>
      <c r="G247" s="385"/>
      <c r="H247" s="386"/>
      <c r="I247" s="385"/>
      <c r="J247" s="385"/>
      <c r="K247" s="385"/>
      <c r="L247" s="385"/>
      <c r="M247" s="385"/>
    </row>
    <row r="248" spans="1:13" x14ac:dyDescent="0.25">
      <c r="B248" s="385"/>
      <c r="C248" s="384"/>
      <c r="D248" s="786"/>
      <c r="E248" s="380"/>
      <c r="F248" s="380"/>
      <c r="G248" s="387"/>
      <c r="H248" s="569"/>
      <c r="I248" s="385"/>
      <c r="J248" s="385"/>
      <c r="K248" s="385"/>
      <c r="L248" s="385"/>
      <c r="M248" s="385"/>
    </row>
    <row r="249" spans="1:13" x14ac:dyDescent="0.25">
      <c r="B249" s="385"/>
      <c r="C249" s="384"/>
      <c r="G249" s="385"/>
      <c r="H249" s="386"/>
      <c r="K249" s="391"/>
      <c r="L249" s="391"/>
      <c r="M249" s="391"/>
    </row>
    <row r="250" spans="1:13" x14ac:dyDescent="0.25">
      <c r="B250" s="385"/>
      <c r="C250" s="384"/>
      <c r="G250" s="385"/>
      <c r="H250" s="386"/>
    </row>
    <row r="251" spans="1:13" x14ac:dyDescent="0.25">
      <c r="A251" s="381"/>
      <c r="B251" s="385"/>
      <c r="C251" s="384"/>
      <c r="G251" s="385"/>
      <c r="H251" s="386"/>
    </row>
    <row r="252" spans="1:13" x14ac:dyDescent="0.25">
      <c r="B252" s="385"/>
      <c r="C252" s="384"/>
      <c r="G252" s="385"/>
      <c r="H252" s="386"/>
    </row>
    <row r="253" spans="1:13" x14ac:dyDescent="0.25">
      <c r="B253" s="570"/>
      <c r="C253" s="384"/>
      <c r="G253" s="385"/>
      <c r="H253" s="386"/>
      <c r="I253" s="385"/>
      <c r="J253" s="385"/>
      <c r="K253" s="385"/>
      <c r="L253" s="385"/>
      <c r="M253" s="385"/>
    </row>
    <row r="254" spans="1:13" x14ac:dyDescent="0.25">
      <c r="C254" s="384"/>
      <c r="G254" s="385"/>
      <c r="H254" s="386"/>
      <c r="I254" s="387"/>
      <c r="J254" s="387"/>
      <c r="K254" s="387"/>
      <c r="L254" s="387"/>
      <c r="M254" s="387"/>
    </row>
    <row r="255" spans="1:13" x14ac:dyDescent="0.25">
      <c r="B255" s="385"/>
      <c r="C255" s="384"/>
      <c r="G255" s="385"/>
      <c r="H255" s="386"/>
      <c r="I255" s="385"/>
      <c r="J255" s="385"/>
      <c r="K255" s="385"/>
      <c r="L255" s="385"/>
      <c r="M255" s="385"/>
    </row>
    <row r="256" spans="1:13" x14ac:dyDescent="0.25">
      <c r="B256" s="385"/>
      <c r="C256" s="384"/>
      <c r="G256" s="385"/>
      <c r="H256" s="386"/>
      <c r="I256" s="385"/>
      <c r="J256" s="385"/>
      <c r="K256" s="385"/>
      <c r="L256" s="385"/>
      <c r="M256" s="385"/>
    </row>
    <row r="257" spans="2:13" x14ac:dyDescent="0.25">
      <c r="B257" s="385"/>
      <c r="C257" s="384"/>
      <c r="G257" s="385"/>
      <c r="H257" s="386"/>
      <c r="I257" s="385"/>
      <c r="J257" s="385"/>
      <c r="K257" s="385"/>
      <c r="L257" s="385"/>
      <c r="M257" s="385"/>
    </row>
    <row r="258" spans="2:13" x14ac:dyDescent="0.25">
      <c r="B258" s="385"/>
      <c r="C258" s="384"/>
      <c r="G258" s="385"/>
      <c r="H258" s="386"/>
      <c r="I258" s="385"/>
      <c r="J258" s="385"/>
      <c r="K258" s="385"/>
      <c r="L258" s="385"/>
      <c r="M258" s="385"/>
    </row>
    <row r="259" spans="2:13" x14ac:dyDescent="0.25">
      <c r="C259" s="384"/>
      <c r="G259" s="385"/>
      <c r="H259" s="386"/>
      <c r="I259" s="385"/>
      <c r="J259" s="385"/>
      <c r="K259" s="385"/>
      <c r="L259" s="385"/>
      <c r="M259" s="385"/>
    </row>
    <row r="260" spans="2:13" x14ac:dyDescent="0.25">
      <c r="B260" s="385"/>
      <c r="C260" s="384"/>
      <c r="G260" s="385"/>
      <c r="H260" s="386"/>
      <c r="I260" s="385"/>
      <c r="J260" s="385"/>
      <c r="K260" s="385"/>
      <c r="L260" s="385"/>
      <c r="M260" s="385"/>
    </row>
    <row r="261" spans="2:13" x14ac:dyDescent="0.25">
      <c r="B261" s="385"/>
      <c r="C261" s="384"/>
      <c r="G261" s="385"/>
      <c r="H261" s="386"/>
      <c r="I261" s="385"/>
      <c r="J261" s="385"/>
      <c r="K261" s="385"/>
      <c r="L261" s="385"/>
      <c r="M261" s="385"/>
    </row>
    <row r="262" spans="2:13" x14ac:dyDescent="0.25">
      <c r="B262" s="385"/>
      <c r="C262" s="384"/>
      <c r="G262" s="385"/>
      <c r="H262" s="386"/>
      <c r="I262" s="385"/>
      <c r="J262" s="385"/>
      <c r="K262" s="385"/>
      <c r="L262" s="385"/>
      <c r="M262" s="385"/>
    </row>
    <row r="263" spans="2:13" x14ac:dyDescent="0.25">
      <c r="B263" s="570"/>
      <c r="C263" s="384"/>
      <c r="G263" s="385"/>
      <c r="H263" s="386"/>
      <c r="I263" s="385"/>
      <c r="J263" s="385"/>
      <c r="K263" s="385"/>
      <c r="L263" s="385"/>
      <c r="M263" s="385"/>
    </row>
    <row r="264" spans="2:13" x14ac:dyDescent="0.25">
      <c r="B264" s="385"/>
      <c r="C264" s="384"/>
      <c r="G264" s="385"/>
      <c r="H264" s="386"/>
      <c r="I264" s="385"/>
      <c r="J264" s="385"/>
      <c r="K264" s="385"/>
      <c r="L264" s="385"/>
      <c r="M264" s="385"/>
    </row>
    <row r="265" spans="2:13" x14ac:dyDescent="0.25">
      <c r="B265" s="385"/>
      <c r="C265" s="384"/>
      <c r="G265" s="385"/>
      <c r="H265" s="386"/>
      <c r="I265" s="385"/>
      <c r="J265" s="385"/>
      <c r="K265" s="385"/>
      <c r="L265" s="385"/>
      <c r="M265" s="385"/>
    </row>
    <row r="266" spans="2:13" x14ac:dyDescent="0.25">
      <c r="B266" s="385"/>
      <c r="C266" s="384"/>
      <c r="G266" s="385"/>
      <c r="H266" s="386"/>
      <c r="I266" s="385"/>
      <c r="J266" s="385"/>
      <c r="K266" s="385"/>
      <c r="L266" s="385"/>
      <c r="M266" s="385"/>
    </row>
    <row r="267" spans="2:13" x14ac:dyDescent="0.25">
      <c r="B267" s="385"/>
      <c r="C267" s="384"/>
      <c r="G267" s="385"/>
      <c r="H267" s="386"/>
      <c r="I267" s="385"/>
      <c r="J267" s="385"/>
      <c r="K267" s="385"/>
      <c r="L267" s="385"/>
      <c r="M267" s="385"/>
    </row>
    <row r="268" spans="2:13" x14ac:dyDescent="0.25">
      <c r="B268" s="385"/>
      <c r="C268" s="384"/>
      <c r="G268" s="385"/>
      <c r="H268" s="386"/>
      <c r="I268" s="385"/>
      <c r="J268" s="385"/>
      <c r="K268" s="385"/>
      <c r="L268" s="385"/>
      <c r="M268" s="385"/>
    </row>
    <row r="269" spans="2:13" x14ac:dyDescent="0.25">
      <c r="B269" s="385"/>
      <c r="C269" s="384"/>
      <c r="G269" s="385"/>
      <c r="H269" s="386"/>
      <c r="I269" s="385"/>
      <c r="J269" s="385"/>
      <c r="K269" s="385"/>
      <c r="L269" s="385"/>
      <c r="M269" s="385"/>
    </row>
    <row r="270" spans="2:13" x14ac:dyDescent="0.25">
      <c r="B270" s="385"/>
      <c r="C270" s="384"/>
      <c r="G270" s="385"/>
      <c r="H270" s="386"/>
      <c r="I270" s="385"/>
      <c r="J270" s="385"/>
      <c r="K270" s="385"/>
      <c r="L270" s="385"/>
      <c r="M270" s="385"/>
    </row>
    <row r="271" spans="2:13" x14ac:dyDescent="0.25">
      <c r="B271" s="385"/>
      <c r="C271" s="384"/>
      <c r="G271" s="385"/>
      <c r="H271" s="386"/>
      <c r="I271" s="385"/>
      <c r="J271" s="385"/>
      <c r="K271" s="385"/>
      <c r="L271" s="385"/>
      <c r="M271" s="385"/>
    </row>
    <row r="272" spans="2:13" x14ac:dyDescent="0.25">
      <c r="B272" s="379"/>
      <c r="C272" s="384"/>
      <c r="G272" s="385"/>
      <c r="H272" s="386"/>
      <c r="I272" s="385"/>
      <c r="J272" s="385"/>
      <c r="K272" s="385"/>
      <c r="L272" s="385"/>
      <c r="M272" s="385"/>
    </row>
    <row r="273" spans="2:13" x14ac:dyDescent="0.25">
      <c r="C273" s="384"/>
      <c r="G273" s="385"/>
      <c r="H273" s="386"/>
      <c r="I273" s="385"/>
      <c r="J273" s="385"/>
      <c r="K273" s="385"/>
      <c r="L273" s="385"/>
      <c r="M273" s="385"/>
    </row>
    <row r="274" spans="2:13" x14ac:dyDescent="0.25">
      <c r="B274" s="379"/>
      <c r="C274" s="384"/>
      <c r="G274" s="385"/>
      <c r="H274" s="386"/>
      <c r="I274" s="385"/>
      <c r="J274" s="385"/>
      <c r="K274" s="385"/>
      <c r="L274" s="385"/>
      <c r="M274" s="385"/>
    </row>
    <row r="275" spans="2:13" x14ac:dyDescent="0.25">
      <c r="C275" s="384"/>
      <c r="G275" s="385"/>
      <c r="H275" s="386"/>
      <c r="I275" s="385"/>
      <c r="J275" s="385"/>
      <c r="K275" s="385"/>
      <c r="L275" s="385"/>
      <c r="M275" s="385"/>
    </row>
    <row r="276" spans="2:13" x14ac:dyDescent="0.25">
      <c r="B276" s="385"/>
      <c r="C276" s="384"/>
      <c r="G276" s="385"/>
      <c r="H276" s="386"/>
      <c r="I276" s="385"/>
      <c r="J276" s="385"/>
      <c r="K276" s="385"/>
      <c r="L276" s="385"/>
      <c r="M276" s="385"/>
    </row>
    <row r="277" spans="2:13" x14ac:dyDescent="0.25">
      <c r="B277" s="385"/>
      <c r="C277" s="384"/>
      <c r="G277" s="385"/>
      <c r="H277" s="386"/>
      <c r="I277" s="385"/>
      <c r="J277" s="385"/>
      <c r="K277" s="385"/>
      <c r="L277" s="385"/>
      <c r="M277" s="385"/>
    </row>
    <row r="278" spans="2:13" x14ac:dyDescent="0.25">
      <c r="B278" s="385"/>
      <c r="C278" s="384"/>
      <c r="G278" s="385"/>
      <c r="H278" s="386"/>
      <c r="I278" s="385"/>
      <c r="J278" s="385"/>
      <c r="K278" s="385"/>
      <c r="L278" s="385"/>
      <c r="M278" s="385"/>
    </row>
    <row r="279" spans="2:13" x14ac:dyDescent="0.25">
      <c r="B279" s="379"/>
      <c r="C279" s="384"/>
      <c r="G279" s="385"/>
      <c r="H279" s="386"/>
      <c r="I279" s="385"/>
      <c r="J279" s="385"/>
      <c r="K279" s="385"/>
      <c r="L279" s="385"/>
      <c r="M279" s="385"/>
    </row>
    <row r="280" spans="2:13" x14ac:dyDescent="0.25">
      <c r="C280" s="384"/>
      <c r="G280" s="385"/>
      <c r="H280" s="386"/>
      <c r="I280" s="385"/>
      <c r="J280" s="385"/>
      <c r="K280" s="385"/>
      <c r="L280" s="385"/>
      <c r="M280" s="385"/>
    </row>
    <row r="281" spans="2:13" x14ac:dyDescent="0.25">
      <c r="B281" s="385"/>
      <c r="C281" s="384"/>
      <c r="G281" s="385"/>
      <c r="H281" s="386"/>
      <c r="I281" s="385"/>
      <c r="J281" s="385"/>
      <c r="K281" s="385"/>
      <c r="L281" s="385"/>
      <c r="M281" s="385"/>
    </row>
    <row r="282" spans="2:13" x14ac:dyDescent="0.25">
      <c r="B282" s="385"/>
      <c r="C282" s="384"/>
      <c r="G282" s="385"/>
      <c r="H282" s="386"/>
      <c r="I282" s="385"/>
      <c r="J282" s="385"/>
      <c r="K282" s="385"/>
      <c r="L282" s="385"/>
      <c r="M282" s="385"/>
    </row>
    <row r="283" spans="2:13" x14ac:dyDescent="0.25">
      <c r="B283" s="379"/>
      <c r="C283" s="384"/>
      <c r="G283" s="385"/>
      <c r="H283" s="386"/>
      <c r="I283" s="385"/>
      <c r="J283" s="385"/>
      <c r="K283" s="385"/>
      <c r="L283" s="385"/>
      <c r="M283" s="385"/>
    </row>
    <row r="284" spans="2:13" x14ac:dyDescent="0.25">
      <c r="C284" s="384"/>
      <c r="G284" s="385"/>
      <c r="H284" s="386"/>
      <c r="I284" s="385"/>
      <c r="J284" s="385"/>
      <c r="K284" s="385"/>
      <c r="L284" s="385"/>
      <c r="M284" s="385"/>
    </row>
    <row r="285" spans="2:13" x14ac:dyDescent="0.25">
      <c r="B285" s="570"/>
      <c r="C285" s="390"/>
      <c r="G285" s="385"/>
      <c r="H285" s="386"/>
      <c r="I285" s="385"/>
      <c r="J285" s="385"/>
      <c r="K285" s="385"/>
      <c r="L285" s="385"/>
      <c r="M285" s="385"/>
    </row>
    <row r="286" spans="2:13" x14ac:dyDescent="0.25">
      <c r="B286" s="379"/>
      <c r="C286" s="384"/>
      <c r="G286" s="385"/>
      <c r="H286" s="386"/>
      <c r="I286" s="385"/>
      <c r="J286" s="385"/>
      <c r="K286" s="385"/>
      <c r="L286" s="385"/>
      <c r="M286" s="385"/>
    </row>
    <row r="287" spans="2:13" x14ac:dyDescent="0.25">
      <c r="B287" s="379"/>
      <c r="C287" s="384"/>
      <c r="G287" s="385"/>
      <c r="H287" s="386"/>
      <c r="I287" s="385"/>
      <c r="J287" s="385"/>
      <c r="K287" s="385"/>
      <c r="L287" s="385"/>
      <c r="M287" s="385"/>
    </row>
    <row r="288" spans="2:13" x14ac:dyDescent="0.25">
      <c r="C288" s="390"/>
      <c r="G288" s="385"/>
      <c r="H288" s="386"/>
      <c r="I288" s="385"/>
      <c r="J288" s="385"/>
      <c r="K288" s="385"/>
      <c r="L288" s="385"/>
      <c r="M288" s="385"/>
    </row>
    <row r="289" spans="7:14" x14ac:dyDescent="0.25">
      <c r="G289" s="385"/>
      <c r="H289" s="386"/>
      <c r="I289" s="385"/>
      <c r="J289" s="385"/>
      <c r="K289" s="385"/>
      <c r="L289" s="385"/>
      <c r="M289" s="385"/>
    </row>
    <row r="290" spans="7:14" x14ac:dyDescent="0.25">
      <c r="I290" s="385"/>
      <c r="J290" s="385"/>
      <c r="K290" s="385"/>
      <c r="L290" s="385"/>
      <c r="M290" s="385"/>
    </row>
    <row r="291" spans="7:14" x14ac:dyDescent="0.25">
      <c r="I291" s="385"/>
      <c r="J291" s="385"/>
      <c r="K291" s="385"/>
      <c r="L291" s="385"/>
      <c r="M291" s="385"/>
    </row>
    <row r="292" spans="7:14" x14ac:dyDescent="0.25">
      <c r="I292" s="385"/>
      <c r="J292" s="385"/>
      <c r="K292" s="385"/>
      <c r="L292" s="385"/>
      <c r="M292" s="385"/>
    </row>
    <row r="293" spans="7:14" x14ac:dyDescent="0.25">
      <c r="I293" s="385"/>
      <c r="J293" s="385"/>
      <c r="K293" s="385"/>
      <c r="L293" s="385"/>
      <c r="M293" s="385"/>
    </row>
    <row r="294" spans="7:14" x14ac:dyDescent="0.25">
      <c r="I294" s="385"/>
      <c r="J294" s="385"/>
      <c r="K294" s="385"/>
      <c r="L294" s="385"/>
      <c r="M294" s="385"/>
    </row>
    <row r="295" spans="7:14" x14ac:dyDescent="0.25">
      <c r="I295" s="385"/>
      <c r="J295" s="385"/>
      <c r="K295" s="385"/>
      <c r="L295" s="385"/>
      <c r="M295" s="385"/>
    </row>
    <row r="296" spans="7:14" x14ac:dyDescent="0.25">
      <c r="K296" s="391"/>
      <c r="L296" s="391"/>
      <c r="M296" s="391"/>
      <c r="N296" s="392"/>
    </row>
    <row r="297" spans="7:14" x14ac:dyDescent="0.25">
      <c r="K297" s="391"/>
      <c r="L297" s="391"/>
      <c r="M297" s="391"/>
      <c r="N297" s="392"/>
    </row>
    <row r="298" spans="7:14" x14ac:dyDescent="0.25">
      <c r="K298" s="391"/>
      <c r="L298" s="391"/>
      <c r="M298" s="391"/>
      <c r="N298" s="392"/>
    </row>
    <row r="299" spans="7:14" x14ac:dyDescent="0.25">
      <c r="K299" s="391"/>
      <c r="L299" s="391"/>
      <c r="M299" s="391"/>
      <c r="N299" s="392"/>
    </row>
    <row r="300" spans="7:14" x14ac:dyDescent="0.25">
      <c r="K300" s="391"/>
      <c r="L300" s="391"/>
      <c r="M300" s="391"/>
      <c r="N300" s="392"/>
    </row>
    <row r="301" spans="7:14" x14ac:dyDescent="0.25">
      <c r="K301" s="391"/>
      <c r="L301" s="391"/>
      <c r="M301" s="391"/>
    </row>
  </sheetData>
  <autoFilter ref="A9:H22"/>
  <mergeCells count="11">
    <mergeCell ref="G17:H17"/>
    <mergeCell ref="A4:H4"/>
    <mergeCell ref="A5:H5"/>
    <mergeCell ref="A6:H6"/>
    <mergeCell ref="A9:A10"/>
    <mergeCell ref="B9:B10"/>
    <mergeCell ref="C9:C10"/>
    <mergeCell ref="D9:D10"/>
    <mergeCell ref="E9:E10"/>
    <mergeCell ref="G9:G10"/>
    <mergeCell ref="H9:H10"/>
  </mergeCells>
  <pageMargins left="0.7" right="0.7" top="0.75" bottom="0.75" header="0.3" footer="0.3"/>
  <pageSetup paperSize="9" scale="6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  <pageSetUpPr fitToPage="1"/>
  </sheetPr>
  <dimension ref="A1:N302"/>
  <sheetViews>
    <sheetView view="pageBreakPreview" zoomScale="80" zoomScaleNormal="70" zoomScaleSheetLayoutView="80" workbookViewId="0">
      <selection activeCell="A5" sqref="A5:H5"/>
    </sheetView>
  </sheetViews>
  <sheetFormatPr defaultColWidth="10.7109375" defaultRowHeight="12.75" x14ac:dyDescent="0.25"/>
  <cols>
    <col min="1" max="1" width="10.7109375" style="360" customWidth="1"/>
    <col min="2" max="2" width="25.7109375" style="360" customWidth="1"/>
    <col min="3" max="3" width="8.42578125" style="374" customWidth="1"/>
    <col min="4" max="4" width="15.7109375" style="785" hidden="1" customWidth="1"/>
    <col min="5" max="6" width="12.7109375" style="375" customWidth="1"/>
    <col min="7" max="7" width="31.85546875" style="360" hidden="1" customWidth="1"/>
    <col min="8" max="8" width="50.7109375" style="373" customWidth="1"/>
    <col min="9" max="253" width="10.7109375" style="360"/>
    <col min="254" max="254" width="13.140625" style="360" customWidth="1"/>
    <col min="255" max="255" width="38" style="360" customWidth="1"/>
    <col min="256" max="256" width="8.42578125" style="360" customWidth="1"/>
    <col min="257" max="257" width="15.7109375" style="360" customWidth="1"/>
    <col min="258" max="258" width="18.28515625" style="360" customWidth="1"/>
    <col min="259" max="259" width="17.85546875" style="360" customWidth="1"/>
    <col min="260" max="260" width="0" style="360" hidden="1" customWidth="1"/>
    <col min="261" max="261" width="33.28515625" style="360" customWidth="1"/>
    <col min="262" max="509" width="10.7109375" style="360"/>
    <col min="510" max="510" width="13.140625" style="360" customWidth="1"/>
    <col min="511" max="511" width="38" style="360" customWidth="1"/>
    <col min="512" max="512" width="8.42578125" style="360" customWidth="1"/>
    <col min="513" max="513" width="15.7109375" style="360" customWidth="1"/>
    <col min="514" max="514" width="18.28515625" style="360" customWidth="1"/>
    <col min="515" max="515" width="17.85546875" style="360" customWidth="1"/>
    <col min="516" max="516" width="0" style="360" hidden="1" customWidth="1"/>
    <col min="517" max="517" width="33.28515625" style="360" customWidth="1"/>
    <col min="518" max="765" width="10.7109375" style="360"/>
    <col min="766" max="766" width="13.140625" style="360" customWidth="1"/>
    <col min="767" max="767" width="38" style="360" customWidth="1"/>
    <col min="768" max="768" width="8.42578125" style="360" customWidth="1"/>
    <col min="769" max="769" width="15.7109375" style="360" customWidth="1"/>
    <col min="770" max="770" width="18.28515625" style="360" customWidth="1"/>
    <col min="771" max="771" width="17.85546875" style="360" customWidth="1"/>
    <col min="772" max="772" width="0" style="360" hidden="1" customWidth="1"/>
    <col min="773" max="773" width="33.28515625" style="360" customWidth="1"/>
    <col min="774" max="1021" width="10.7109375" style="360"/>
    <col min="1022" max="1022" width="13.140625" style="360" customWidth="1"/>
    <col min="1023" max="1023" width="38" style="360" customWidth="1"/>
    <col min="1024" max="1024" width="8.42578125" style="360" customWidth="1"/>
    <col min="1025" max="1025" width="15.7109375" style="360" customWidth="1"/>
    <col min="1026" max="1026" width="18.28515625" style="360" customWidth="1"/>
    <col min="1027" max="1027" width="17.85546875" style="360" customWidth="1"/>
    <col min="1028" max="1028" width="0" style="360" hidden="1" customWidth="1"/>
    <col min="1029" max="1029" width="33.28515625" style="360" customWidth="1"/>
    <col min="1030" max="1277" width="10.7109375" style="360"/>
    <col min="1278" max="1278" width="13.140625" style="360" customWidth="1"/>
    <col min="1279" max="1279" width="38" style="360" customWidth="1"/>
    <col min="1280" max="1280" width="8.42578125" style="360" customWidth="1"/>
    <col min="1281" max="1281" width="15.7109375" style="360" customWidth="1"/>
    <col min="1282" max="1282" width="18.28515625" style="360" customWidth="1"/>
    <col min="1283" max="1283" width="17.85546875" style="360" customWidth="1"/>
    <col min="1284" max="1284" width="0" style="360" hidden="1" customWidth="1"/>
    <col min="1285" max="1285" width="33.28515625" style="360" customWidth="1"/>
    <col min="1286" max="1533" width="10.7109375" style="360"/>
    <col min="1534" max="1534" width="13.140625" style="360" customWidth="1"/>
    <col min="1535" max="1535" width="38" style="360" customWidth="1"/>
    <col min="1536" max="1536" width="8.42578125" style="360" customWidth="1"/>
    <col min="1537" max="1537" width="15.7109375" style="360" customWidth="1"/>
    <col min="1538" max="1538" width="18.28515625" style="360" customWidth="1"/>
    <col min="1539" max="1539" width="17.85546875" style="360" customWidth="1"/>
    <col min="1540" max="1540" width="0" style="360" hidden="1" customWidth="1"/>
    <col min="1541" max="1541" width="33.28515625" style="360" customWidth="1"/>
    <col min="1542" max="1789" width="10.7109375" style="360"/>
    <col min="1790" max="1790" width="13.140625" style="360" customWidth="1"/>
    <col min="1791" max="1791" width="38" style="360" customWidth="1"/>
    <col min="1792" max="1792" width="8.42578125" style="360" customWidth="1"/>
    <col min="1793" max="1793" width="15.7109375" style="360" customWidth="1"/>
    <col min="1794" max="1794" width="18.28515625" style="360" customWidth="1"/>
    <col min="1795" max="1795" width="17.85546875" style="360" customWidth="1"/>
    <col min="1796" max="1796" width="0" style="360" hidden="1" customWidth="1"/>
    <col min="1797" max="1797" width="33.28515625" style="360" customWidth="1"/>
    <col min="1798" max="2045" width="10.7109375" style="360"/>
    <col min="2046" max="2046" width="13.140625" style="360" customWidth="1"/>
    <col min="2047" max="2047" width="38" style="360" customWidth="1"/>
    <col min="2048" max="2048" width="8.42578125" style="360" customWidth="1"/>
    <col min="2049" max="2049" width="15.7109375" style="360" customWidth="1"/>
    <col min="2050" max="2050" width="18.28515625" style="360" customWidth="1"/>
    <col min="2051" max="2051" width="17.85546875" style="360" customWidth="1"/>
    <col min="2052" max="2052" width="0" style="360" hidden="1" customWidth="1"/>
    <col min="2053" max="2053" width="33.28515625" style="360" customWidth="1"/>
    <col min="2054" max="2301" width="10.7109375" style="360"/>
    <col min="2302" max="2302" width="13.140625" style="360" customWidth="1"/>
    <col min="2303" max="2303" width="38" style="360" customWidth="1"/>
    <col min="2304" max="2304" width="8.42578125" style="360" customWidth="1"/>
    <col min="2305" max="2305" width="15.7109375" style="360" customWidth="1"/>
    <col min="2306" max="2306" width="18.28515625" style="360" customWidth="1"/>
    <col min="2307" max="2307" width="17.85546875" style="360" customWidth="1"/>
    <col min="2308" max="2308" width="0" style="360" hidden="1" customWidth="1"/>
    <col min="2309" max="2309" width="33.28515625" style="360" customWidth="1"/>
    <col min="2310" max="2557" width="10.7109375" style="360"/>
    <col min="2558" max="2558" width="13.140625" style="360" customWidth="1"/>
    <col min="2559" max="2559" width="38" style="360" customWidth="1"/>
    <col min="2560" max="2560" width="8.42578125" style="360" customWidth="1"/>
    <col min="2561" max="2561" width="15.7109375" style="360" customWidth="1"/>
    <col min="2562" max="2562" width="18.28515625" style="360" customWidth="1"/>
    <col min="2563" max="2563" width="17.85546875" style="360" customWidth="1"/>
    <col min="2564" max="2564" width="0" style="360" hidden="1" customWidth="1"/>
    <col min="2565" max="2565" width="33.28515625" style="360" customWidth="1"/>
    <col min="2566" max="2813" width="10.7109375" style="360"/>
    <col min="2814" max="2814" width="13.140625" style="360" customWidth="1"/>
    <col min="2815" max="2815" width="38" style="360" customWidth="1"/>
    <col min="2816" max="2816" width="8.42578125" style="360" customWidth="1"/>
    <col min="2817" max="2817" width="15.7109375" style="360" customWidth="1"/>
    <col min="2818" max="2818" width="18.28515625" style="360" customWidth="1"/>
    <col min="2819" max="2819" width="17.85546875" style="360" customWidth="1"/>
    <col min="2820" max="2820" width="0" style="360" hidden="1" customWidth="1"/>
    <col min="2821" max="2821" width="33.28515625" style="360" customWidth="1"/>
    <col min="2822" max="3069" width="10.7109375" style="360"/>
    <col min="3070" max="3070" width="13.140625" style="360" customWidth="1"/>
    <col min="3071" max="3071" width="38" style="360" customWidth="1"/>
    <col min="3072" max="3072" width="8.42578125" style="360" customWidth="1"/>
    <col min="3073" max="3073" width="15.7109375" style="360" customWidth="1"/>
    <col min="3074" max="3074" width="18.28515625" style="360" customWidth="1"/>
    <col min="3075" max="3075" width="17.85546875" style="360" customWidth="1"/>
    <col min="3076" max="3076" width="0" style="360" hidden="1" customWidth="1"/>
    <col min="3077" max="3077" width="33.28515625" style="360" customWidth="1"/>
    <col min="3078" max="3325" width="10.7109375" style="360"/>
    <col min="3326" max="3326" width="13.140625" style="360" customWidth="1"/>
    <col min="3327" max="3327" width="38" style="360" customWidth="1"/>
    <col min="3328" max="3328" width="8.42578125" style="360" customWidth="1"/>
    <col min="3329" max="3329" width="15.7109375" style="360" customWidth="1"/>
    <col min="3330" max="3330" width="18.28515625" style="360" customWidth="1"/>
    <col min="3331" max="3331" width="17.85546875" style="360" customWidth="1"/>
    <col min="3332" max="3332" width="0" style="360" hidden="1" customWidth="1"/>
    <col min="3333" max="3333" width="33.28515625" style="360" customWidth="1"/>
    <col min="3334" max="3581" width="10.7109375" style="360"/>
    <col min="3582" max="3582" width="13.140625" style="360" customWidth="1"/>
    <col min="3583" max="3583" width="38" style="360" customWidth="1"/>
    <col min="3584" max="3584" width="8.42578125" style="360" customWidth="1"/>
    <col min="3585" max="3585" width="15.7109375" style="360" customWidth="1"/>
    <col min="3586" max="3586" width="18.28515625" style="360" customWidth="1"/>
    <col min="3587" max="3587" width="17.85546875" style="360" customWidth="1"/>
    <col min="3588" max="3588" width="0" style="360" hidden="1" customWidth="1"/>
    <col min="3589" max="3589" width="33.28515625" style="360" customWidth="1"/>
    <col min="3590" max="3837" width="10.7109375" style="360"/>
    <col min="3838" max="3838" width="13.140625" style="360" customWidth="1"/>
    <col min="3839" max="3839" width="38" style="360" customWidth="1"/>
    <col min="3840" max="3840" width="8.42578125" style="360" customWidth="1"/>
    <col min="3841" max="3841" width="15.7109375" style="360" customWidth="1"/>
    <col min="3842" max="3842" width="18.28515625" style="360" customWidth="1"/>
    <col min="3843" max="3843" width="17.85546875" style="360" customWidth="1"/>
    <col min="3844" max="3844" width="0" style="360" hidden="1" customWidth="1"/>
    <col min="3845" max="3845" width="33.28515625" style="360" customWidth="1"/>
    <col min="3846" max="4093" width="10.7109375" style="360"/>
    <col min="4094" max="4094" width="13.140625" style="360" customWidth="1"/>
    <col min="4095" max="4095" width="38" style="360" customWidth="1"/>
    <col min="4096" max="4096" width="8.42578125" style="360" customWidth="1"/>
    <col min="4097" max="4097" width="15.7109375" style="360" customWidth="1"/>
    <col min="4098" max="4098" width="18.28515625" style="360" customWidth="1"/>
    <col min="4099" max="4099" width="17.85546875" style="360" customWidth="1"/>
    <col min="4100" max="4100" width="0" style="360" hidden="1" customWidth="1"/>
    <col min="4101" max="4101" width="33.28515625" style="360" customWidth="1"/>
    <col min="4102" max="4349" width="10.7109375" style="360"/>
    <col min="4350" max="4350" width="13.140625" style="360" customWidth="1"/>
    <col min="4351" max="4351" width="38" style="360" customWidth="1"/>
    <col min="4352" max="4352" width="8.42578125" style="360" customWidth="1"/>
    <col min="4353" max="4353" width="15.7109375" style="360" customWidth="1"/>
    <col min="4354" max="4354" width="18.28515625" style="360" customWidth="1"/>
    <col min="4355" max="4355" width="17.85546875" style="360" customWidth="1"/>
    <col min="4356" max="4356" width="0" style="360" hidden="1" customWidth="1"/>
    <col min="4357" max="4357" width="33.28515625" style="360" customWidth="1"/>
    <col min="4358" max="4605" width="10.7109375" style="360"/>
    <col min="4606" max="4606" width="13.140625" style="360" customWidth="1"/>
    <col min="4607" max="4607" width="38" style="360" customWidth="1"/>
    <col min="4608" max="4608" width="8.42578125" style="360" customWidth="1"/>
    <col min="4609" max="4609" width="15.7109375" style="360" customWidth="1"/>
    <col min="4610" max="4610" width="18.28515625" style="360" customWidth="1"/>
    <col min="4611" max="4611" width="17.85546875" style="360" customWidth="1"/>
    <col min="4612" max="4612" width="0" style="360" hidden="1" customWidth="1"/>
    <col min="4613" max="4613" width="33.28515625" style="360" customWidth="1"/>
    <col min="4614" max="4861" width="10.7109375" style="360"/>
    <col min="4862" max="4862" width="13.140625" style="360" customWidth="1"/>
    <col min="4863" max="4863" width="38" style="360" customWidth="1"/>
    <col min="4864" max="4864" width="8.42578125" style="360" customWidth="1"/>
    <col min="4865" max="4865" width="15.7109375" style="360" customWidth="1"/>
    <col min="4866" max="4866" width="18.28515625" style="360" customWidth="1"/>
    <col min="4867" max="4867" width="17.85546875" style="360" customWidth="1"/>
    <col min="4868" max="4868" width="0" style="360" hidden="1" customWidth="1"/>
    <col min="4869" max="4869" width="33.28515625" style="360" customWidth="1"/>
    <col min="4870" max="5117" width="10.7109375" style="360"/>
    <col min="5118" max="5118" width="13.140625" style="360" customWidth="1"/>
    <col min="5119" max="5119" width="38" style="360" customWidth="1"/>
    <col min="5120" max="5120" width="8.42578125" style="360" customWidth="1"/>
    <col min="5121" max="5121" width="15.7109375" style="360" customWidth="1"/>
    <col min="5122" max="5122" width="18.28515625" style="360" customWidth="1"/>
    <col min="5123" max="5123" width="17.85546875" style="360" customWidth="1"/>
    <col min="5124" max="5124" width="0" style="360" hidden="1" customWidth="1"/>
    <col min="5125" max="5125" width="33.28515625" style="360" customWidth="1"/>
    <col min="5126" max="5373" width="10.7109375" style="360"/>
    <col min="5374" max="5374" width="13.140625" style="360" customWidth="1"/>
    <col min="5375" max="5375" width="38" style="360" customWidth="1"/>
    <col min="5376" max="5376" width="8.42578125" style="360" customWidth="1"/>
    <col min="5377" max="5377" width="15.7109375" style="360" customWidth="1"/>
    <col min="5378" max="5378" width="18.28515625" style="360" customWidth="1"/>
    <col min="5379" max="5379" width="17.85546875" style="360" customWidth="1"/>
    <col min="5380" max="5380" width="0" style="360" hidden="1" customWidth="1"/>
    <col min="5381" max="5381" width="33.28515625" style="360" customWidth="1"/>
    <col min="5382" max="5629" width="10.7109375" style="360"/>
    <col min="5630" max="5630" width="13.140625" style="360" customWidth="1"/>
    <col min="5631" max="5631" width="38" style="360" customWidth="1"/>
    <col min="5632" max="5632" width="8.42578125" style="360" customWidth="1"/>
    <col min="5633" max="5633" width="15.7109375" style="360" customWidth="1"/>
    <col min="5634" max="5634" width="18.28515625" style="360" customWidth="1"/>
    <col min="5635" max="5635" width="17.85546875" style="360" customWidth="1"/>
    <col min="5636" max="5636" width="0" style="360" hidden="1" customWidth="1"/>
    <col min="5637" max="5637" width="33.28515625" style="360" customWidth="1"/>
    <col min="5638" max="5885" width="10.7109375" style="360"/>
    <col min="5886" max="5886" width="13.140625" style="360" customWidth="1"/>
    <col min="5887" max="5887" width="38" style="360" customWidth="1"/>
    <col min="5888" max="5888" width="8.42578125" style="360" customWidth="1"/>
    <col min="5889" max="5889" width="15.7109375" style="360" customWidth="1"/>
    <col min="5890" max="5890" width="18.28515625" style="360" customWidth="1"/>
    <col min="5891" max="5891" width="17.85546875" style="360" customWidth="1"/>
    <col min="5892" max="5892" width="0" style="360" hidden="1" customWidth="1"/>
    <col min="5893" max="5893" width="33.28515625" style="360" customWidth="1"/>
    <col min="5894" max="6141" width="10.7109375" style="360"/>
    <col min="6142" max="6142" width="13.140625" style="360" customWidth="1"/>
    <col min="6143" max="6143" width="38" style="360" customWidth="1"/>
    <col min="6144" max="6144" width="8.42578125" style="360" customWidth="1"/>
    <col min="6145" max="6145" width="15.7109375" style="360" customWidth="1"/>
    <col min="6146" max="6146" width="18.28515625" style="360" customWidth="1"/>
    <col min="6147" max="6147" width="17.85546875" style="360" customWidth="1"/>
    <col min="6148" max="6148" width="0" style="360" hidden="1" customWidth="1"/>
    <col min="6149" max="6149" width="33.28515625" style="360" customWidth="1"/>
    <col min="6150" max="6397" width="10.7109375" style="360"/>
    <col min="6398" max="6398" width="13.140625" style="360" customWidth="1"/>
    <col min="6399" max="6399" width="38" style="360" customWidth="1"/>
    <col min="6400" max="6400" width="8.42578125" style="360" customWidth="1"/>
    <col min="6401" max="6401" width="15.7109375" style="360" customWidth="1"/>
    <col min="6402" max="6402" width="18.28515625" style="360" customWidth="1"/>
    <col min="6403" max="6403" width="17.85546875" style="360" customWidth="1"/>
    <col min="6404" max="6404" width="0" style="360" hidden="1" customWidth="1"/>
    <col min="6405" max="6405" width="33.28515625" style="360" customWidth="1"/>
    <col min="6406" max="6653" width="10.7109375" style="360"/>
    <col min="6654" max="6654" width="13.140625" style="360" customWidth="1"/>
    <col min="6655" max="6655" width="38" style="360" customWidth="1"/>
    <col min="6656" max="6656" width="8.42578125" style="360" customWidth="1"/>
    <col min="6657" max="6657" width="15.7109375" style="360" customWidth="1"/>
    <col min="6658" max="6658" width="18.28515625" style="360" customWidth="1"/>
    <col min="6659" max="6659" width="17.85546875" style="360" customWidth="1"/>
    <col min="6660" max="6660" width="0" style="360" hidden="1" customWidth="1"/>
    <col min="6661" max="6661" width="33.28515625" style="360" customWidth="1"/>
    <col min="6662" max="6909" width="10.7109375" style="360"/>
    <col min="6910" max="6910" width="13.140625" style="360" customWidth="1"/>
    <col min="6911" max="6911" width="38" style="360" customWidth="1"/>
    <col min="6912" max="6912" width="8.42578125" style="360" customWidth="1"/>
    <col min="6913" max="6913" width="15.7109375" style="360" customWidth="1"/>
    <col min="6914" max="6914" width="18.28515625" style="360" customWidth="1"/>
    <col min="6915" max="6915" width="17.85546875" style="360" customWidth="1"/>
    <col min="6916" max="6916" width="0" style="360" hidden="1" customWidth="1"/>
    <col min="6917" max="6917" width="33.28515625" style="360" customWidth="1"/>
    <col min="6918" max="7165" width="10.7109375" style="360"/>
    <col min="7166" max="7166" width="13.140625" style="360" customWidth="1"/>
    <col min="7167" max="7167" width="38" style="360" customWidth="1"/>
    <col min="7168" max="7168" width="8.42578125" style="360" customWidth="1"/>
    <col min="7169" max="7169" width="15.7109375" style="360" customWidth="1"/>
    <col min="7170" max="7170" width="18.28515625" style="360" customWidth="1"/>
    <col min="7171" max="7171" width="17.85546875" style="360" customWidth="1"/>
    <col min="7172" max="7172" width="0" style="360" hidden="1" customWidth="1"/>
    <col min="7173" max="7173" width="33.28515625" style="360" customWidth="1"/>
    <col min="7174" max="7421" width="10.7109375" style="360"/>
    <col min="7422" max="7422" width="13.140625" style="360" customWidth="1"/>
    <col min="7423" max="7423" width="38" style="360" customWidth="1"/>
    <col min="7424" max="7424" width="8.42578125" style="360" customWidth="1"/>
    <col min="7425" max="7425" width="15.7109375" style="360" customWidth="1"/>
    <col min="7426" max="7426" width="18.28515625" style="360" customWidth="1"/>
    <col min="7427" max="7427" width="17.85546875" style="360" customWidth="1"/>
    <col min="7428" max="7428" width="0" style="360" hidden="1" customWidth="1"/>
    <col min="7429" max="7429" width="33.28515625" style="360" customWidth="1"/>
    <col min="7430" max="7677" width="10.7109375" style="360"/>
    <col min="7678" max="7678" width="13.140625" style="360" customWidth="1"/>
    <col min="7679" max="7679" width="38" style="360" customWidth="1"/>
    <col min="7680" max="7680" width="8.42578125" style="360" customWidth="1"/>
    <col min="7681" max="7681" width="15.7109375" style="360" customWidth="1"/>
    <col min="7682" max="7682" width="18.28515625" style="360" customWidth="1"/>
    <col min="7683" max="7683" width="17.85546875" style="360" customWidth="1"/>
    <col min="7684" max="7684" width="0" style="360" hidden="1" customWidth="1"/>
    <col min="7685" max="7685" width="33.28515625" style="360" customWidth="1"/>
    <col min="7686" max="7933" width="10.7109375" style="360"/>
    <col min="7934" max="7934" width="13.140625" style="360" customWidth="1"/>
    <col min="7935" max="7935" width="38" style="360" customWidth="1"/>
    <col min="7936" max="7936" width="8.42578125" style="360" customWidth="1"/>
    <col min="7937" max="7937" width="15.7109375" style="360" customWidth="1"/>
    <col min="7938" max="7938" width="18.28515625" style="360" customWidth="1"/>
    <col min="7939" max="7939" width="17.85546875" style="360" customWidth="1"/>
    <col min="7940" max="7940" width="0" style="360" hidden="1" customWidth="1"/>
    <col min="7941" max="7941" width="33.28515625" style="360" customWidth="1"/>
    <col min="7942" max="8189" width="10.7109375" style="360"/>
    <col min="8190" max="8190" width="13.140625" style="360" customWidth="1"/>
    <col min="8191" max="8191" width="38" style="360" customWidth="1"/>
    <col min="8192" max="8192" width="8.42578125" style="360" customWidth="1"/>
    <col min="8193" max="8193" width="15.7109375" style="360" customWidth="1"/>
    <col min="8194" max="8194" width="18.28515625" style="360" customWidth="1"/>
    <col min="8195" max="8195" width="17.85546875" style="360" customWidth="1"/>
    <col min="8196" max="8196" width="0" style="360" hidden="1" customWidth="1"/>
    <col min="8197" max="8197" width="33.28515625" style="360" customWidth="1"/>
    <col min="8198" max="8445" width="10.7109375" style="360"/>
    <col min="8446" max="8446" width="13.140625" style="360" customWidth="1"/>
    <col min="8447" max="8447" width="38" style="360" customWidth="1"/>
    <col min="8448" max="8448" width="8.42578125" style="360" customWidth="1"/>
    <col min="8449" max="8449" width="15.7109375" style="360" customWidth="1"/>
    <col min="8450" max="8450" width="18.28515625" style="360" customWidth="1"/>
    <col min="8451" max="8451" width="17.85546875" style="360" customWidth="1"/>
    <col min="8452" max="8452" width="0" style="360" hidden="1" customWidth="1"/>
    <col min="8453" max="8453" width="33.28515625" style="360" customWidth="1"/>
    <col min="8454" max="8701" width="10.7109375" style="360"/>
    <col min="8702" max="8702" width="13.140625" style="360" customWidth="1"/>
    <col min="8703" max="8703" width="38" style="360" customWidth="1"/>
    <col min="8704" max="8704" width="8.42578125" style="360" customWidth="1"/>
    <col min="8705" max="8705" width="15.7109375" style="360" customWidth="1"/>
    <col min="8706" max="8706" width="18.28515625" style="360" customWidth="1"/>
    <col min="8707" max="8707" width="17.85546875" style="360" customWidth="1"/>
    <col min="8708" max="8708" width="0" style="360" hidden="1" customWidth="1"/>
    <col min="8709" max="8709" width="33.28515625" style="360" customWidth="1"/>
    <col min="8710" max="8957" width="10.7109375" style="360"/>
    <col min="8958" max="8958" width="13.140625" style="360" customWidth="1"/>
    <col min="8959" max="8959" width="38" style="360" customWidth="1"/>
    <col min="8960" max="8960" width="8.42578125" style="360" customWidth="1"/>
    <col min="8961" max="8961" width="15.7109375" style="360" customWidth="1"/>
    <col min="8962" max="8962" width="18.28515625" style="360" customWidth="1"/>
    <col min="8963" max="8963" width="17.85546875" style="360" customWidth="1"/>
    <col min="8964" max="8964" width="0" style="360" hidden="1" customWidth="1"/>
    <col min="8965" max="8965" width="33.28515625" style="360" customWidth="1"/>
    <col min="8966" max="9213" width="10.7109375" style="360"/>
    <col min="9214" max="9214" width="13.140625" style="360" customWidth="1"/>
    <col min="9215" max="9215" width="38" style="360" customWidth="1"/>
    <col min="9216" max="9216" width="8.42578125" style="360" customWidth="1"/>
    <col min="9217" max="9217" width="15.7109375" style="360" customWidth="1"/>
    <col min="9218" max="9218" width="18.28515625" style="360" customWidth="1"/>
    <col min="9219" max="9219" width="17.85546875" style="360" customWidth="1"/>
    <col min="9220" max="9220" width="0" style="360" hidden="1" customWidth="1"/>
    <col min="9221" max="9221" width="33.28515625" style="360" customWidth="1"/>
    <col min="9222" max="9469" width="10.7109375" style="360"/>
    <col min="9470" max="9470" width="13.140625" style="360" customWidth="1"/>
    <col min="9471" max="9471" width="38" style="360" customWidth="1"/>
    <col min="9472" max="9472" width="8.42578125" style="360" customWidth="1"/>
    <col min="9473" max="9473" width="15.7109375" style="360" customWidth="1"/>
    <col min="9474" max="9474" width="18.28515625" style="360" customWidth="1"/>
    <col min="9475" max="9475" width="17.85546875" style="360" customWidth="1"/>
    <col min="9476" max="9476" width="0" style="360" hidden="1" customWidth="1"/>
    <col min="9477" max="9477" width="33.28515625" style="360" customWidth="1"/>
    <col min="9478" max="9725" width="10.7109375" style="360"/>
    <col min="9726" max="9726" width="13.140625" style="360" customWidth="1"/>
    <col min="9727" max="9727" width="38" style="360" customWidth="1"/>
    <col min="9728" max="9728" width="8.42578125" style="360" customWidth="1"/>
    <col min="9729" max="9729" width="15.7109375" style="360" customWidth="1"/>
    <col min="9730" max="9730" width="18.28515625" style="360" customWidth="1"/>
    <col min="9731" max="9731" width="17.85546875" style="360" customWidth="1"/>
    <col min="9732" max="9732" width="0" style="360" hidden="1" customWidth="1"/>
    <col min="9733" max="9733" width="33.28515625" style="360" customWidth="1"/>
    <col min="9734" max="9981" width="10.7109375" style="360"/>
    <col min="9982" max="9982" width="13.140625" style="360" customWidth="1"/>
    <col min="9983" max="9983" width="38" style="360" customWidth="1"/>
    <col min="9984" max="9984" width="8.42578125" style="360" customWidth="1"/>
    <col min="9985" max="9985" width="15.7109375" style="360" customWidth="1"/>
    <col min="9986" max="9986" width="18.28515625" style="360" customWidth="1"/>
    <col min="9987" max="9987" width="17.85546875" style="360" customWidth="1"/>
    <col min="9988" max="9988" width="0" style="360" hidden="1" customWidth="1"/>
    <col min="9989" max="9989" width="33.28515625" style="360" customWidth="1"/>
    <col min="9990" max="10237" width="10.7109375" style="360"/>
    <col min="10238" max="10238" width="13.140625" style="360" customWidth="1"/>
    <col min="10239" max="10239" width="38" style="360" customWidth="1"/>
    <col min="10240" max="10240" width="8.42578125" style="360" customWidth="1"/>
    <col min="10241" max="10241" width="15.7109375" style="360" customWidth="1"/>
    <col min="10242" max="10242" width="18.28515625" style="360" customWidth="1"/>
    <col min="10243" max="10243" width="17.85546875" style="360" customWidth="1"/>
    <col min="10244" max="10244" width="0" style="360" hidden="1" customWidth="1"/>
    <col min="10245" max="10245" width="33.28515625" style="360" customWidth="1"/>
    <col min="10246" max="10493" width="10.7109375" style="360"/>
    <col min="10494" max="10494" width="13.140625" style="360" customWidth="1"/>
    <col min="10495" max="10495" width="38" style="360" customWidth="1"/>
    <col min="10496" max="10496" width="8.42578125" style="360" customWidth="1"/>
    <col min="10497" max="10497" width="15.7109375" style="360" customWidth="1"/>
    <col min="10498" max="10498" width="18.28515625" style="360" customWidth="1"/>
    <col min="10499" max="10499" width="17.85546875" style="360" customWidth="1"/>
    <col min="10500" max="10500" width="0" style="360" hidden="1" customWidth="1"/>
    <col min="10501" max="10501" width="33.28515625" style="360" customWidth="1"/>
    <col min="10502" max="10749" width="10.7109375" style="360"/>
    <col min="10750" max="10750" width="13.140625" style="360" customWidth="1"/>
    <col min="10751" max="10751" width="38" style="360" customWidth="1"/>
    <col min="10752" max="10752" width="8.42578125" style="360" customWidth="1"/>
    <col min="10753" max="10753" width="15.7109375" style="360" customWidth="1"/>
    <col min="10754" max="10754" width="18.28515625" style="360" customWidth="1"/>
    <col min="10755" max="10755" width="17.85546875" style="360" customWidth="1"/>
    <col min="10756" max="10756" width="0" style="360" hidden="1" customWidth="1"/>
    <col min="10757" max="10757" width="33.28515625" style="360" customWidth="1"/>
    <col min="10758" max="11005" width="10.7109375" style="360"/>
    <col min="11006" max="11006" width="13.140625" style="360" customWidth="1"/>
    <col min="11007" max="11007" width="38" style="360" customWidth="1"/>
    <col min="11008" max="11008" width="8.42578125" style="360" customWidth="1"/>
    <col min="11009" max="11009" width="15.7109375" style="360" customWidth="1"/>
    <col min="11010" max="11010" width="18.28515625" style="360" customWidth="1"/>
    <col min="11011" max="11011" width="17.85546875" style="360" customWidth="1"/>
    <col min="11012" max="11012" width="0" style="360" hidden="1" customWidth="1"/>
    <col min="11013" max="11013" width="33.28515625" style="360" customWidth="1"/>
    <col min="11014" max="11261" width="10.7109375" style="360"/>
    <col min="11262" max="11262" width="13.140625" style="360" customWidth="1"/>
    <col min="11263" max="11263" width="38" style="360" customWidth="1"/>
    <col min="11264" max="11264" width="8.42578125" style="360" customWidth="1"/>
    <col min="11265" max="11265" width="15.7109375" style="360" customWidth="1"/>
    <col min="11266" max="11266" width="18.28515625" style="360" customWidth="1"/>
    <col min="11267" max="11267" width="17.85546875" style="360" customWidth="1"/>
    <col min="11268" max="11268" width="0" style="360" hidden="1" customWidth="1"/>
    <col min="11269" max="11269" width="33.28515625" style="360" customWidth="1"/>
    <col min="11270" max="11517" width="10.7109375" style="360"/>
    <col min="11518" max="11518" width="13.140625" style="360" customWidth="1"/>
    <col min="11519" max="11519" width="38" style="360" customWidth="1"/>
    <col min="11520" max="11520" width="8.42578125" style="360" customWidth="1"/>
    <col min="11521" max="11521" width="15.7109375" style="360" customWidth="1"/>
    <col min="11522" max="11522" width="18.28515625" style="360" customWidth="1"/>
    <col min="11523" max="11523" width="17.85546875" style="360" customWidth="1"/>
    <col min="11524" max="11524" width="0" style="360" hidden="1" customWidth="1"/>
    <col min="11525" max="11525" width="33.28515625" style="360" customWidth="1"/>
    <col min="11526" max="11773" width="10.7109375" style="360"/>
    <col min="11774" max="11774" width="13.140625" style="360" customWidth="1"/>
    <col min="11775" max="11775" width="38" style="360" customWidth="1"/>
    <col min="11776" max="11776" width="8.42578125" style="360" customWidth="1"/>
    <col min="11777" max="11777" width="15.7109375" style="360" customWidth="1"/>
    <col min="11778" max="11778" width="18.28515625" style="360" customWidth="1"/>
    <col min="11779" max="11779" width="17.85546875" style="360" customWidth="1"/>
    <col min="11780" max="11780" width="0" style="360" hidden="1" customWidth="1"/>
    <col min="11781" max="11781" width="33.28515625" style="360" customWidth="1"/>
    <col min="11782" max="12029" width="10.7109375" style="360"/>
    <col min="12030" max="12030" width="13.140625" style="360" customWidth="1"/>
    <col min="12031" max="12031" width="38" style="360" customWidth="1"/>
    <col min="12032" max="12032" width="8.42578125" style="360" customWidth="1"/>
    <col min="12033" max="12033" width="15.7109375" style="360" customWidth="1"/>
    <col min="12034" max="12034" width="18.28515625" style="360" customWidth="1"/>
    <col min="12035" max="12035" width="17.85546875" style="360" customWidth="1"/>
    <col min="12036" max="12036" width="0" style="360" hidden="1" customWidth="1"/>
    <col min="12037" max="12037" width="33.28515625" style="360" customWidth="1"/>
    <col min="12038" max="12285" width="10.7109375" style="360"/>
    <col min="12286" max="12286" width="13.140625" style="360" customWidth="1"/>
    <col min="12287" max="12287" width="38" style="360" customWidth="1"/>
    <col min="12288" max="12288" width="8.42578125" style="360" customWidth="1"/>
    <col min="12289" max="12289" width="15.7109375" style="360" customWidth="1"/>
    <col min="12290" max="12290" width="18.28515625" style="360" customWidth="1"/>
    <col min="12291" max="12291" width="17.85546875" style="360" customWidth="1"/>
    <col min="12292" max="12292" width="0" style="360" hidden="1" customWidth="1"/>
    <col min="12293" max="12293" width="33.28515625" style="360" customWidth="1"/>
    <col min="12294" max="12541" width="10.7109375" style="360"/>
    <col min="12542" max="12542" width="13.140625" style="360" customWidth="1"/>
    <col min="12543" max="12543" width="38" style="360" customWidth="1"/>
    <col min="12544" max="12544" width="8.42578125" style="360" customWidth="1"/>
    <col min="12545" max="12545" width="15.7109375" style="360" customWidth="1"/>
    <col min="12546" max="12546" width="18.28515625" style="360" customWidth="1"/>
    <col min="12547" max="12547" width="17.85546875" style="360" customWidth="1"/>
    <col min="12548" max="12548" width="0" style="360" hidden="1" customWidth="1"/>
    <col min="12549" max="12549" width="33.28515625" style="360" customWidth="1"/>
    <col min="12550" max="12797" width="10.7109375" style="360"/>
    <col min="12798" max="12798" width="13.140625" style="360" customWidth="1"/>
    <col min="12799" max="12799" width="38" style="360" customWidth="1"/>
    <col min="12800" max="12800" width="8.42578125" style="360" customWidth="1"/>
    <col min="12801" max="12801" width="15.7109375" style="360" customWidth="1"/>
    <col min="12802" max="12802" width="18.28515625" style="360" customWidth="1"/>
    <col min="12803" max="12803" width="17.85546875" style="360" customWidth="1"/>
    <col min="12804" max="12804" width="0" style="360" hidden="1" customWidth="1"/>
    <col min="12805" max="12805" width="33.28515625" style="360" customWidth="1"/>
    <col min="12806" max="13053" width="10.7109375" style="360"/>
    <col min="13054" max="13054" width="13.140625" style="360" customWidth="1"/>
    <col min="13055" max="13055" width="38" style="360" customWidth="1"/>
    <col min="13056" max="13056" width="8.42578125" style="360" customWidth="1"/>
    <col min="13057" max="13057" width="15.7109375" style="360" customWidth="1"/>
    <col min="13058" max="13058" width="18.28515625" style="360" customWidth="1"/>
    <col min="13059" max="13059" width="17.85546875" style="360" customWidth="1"/>
    <col min="13060" max="13060" width="0" style="360" hidden="1" customWidth="1"/>
    <col min="13061" max="13061" width="33.28515625" style="360" customWidth="1"/>
    <col min="13062" max="13309" width="10.7109375" style="360"/>
    <col min="13310" max="13310" width="13.140625" style="360" customWidth="1"/>
    <col min="13311" max="13311" width="38" style="360" customWidth="1"/>
    <col min="13312" max="13312" width="8.42578125" style="360" customWidth="1"/>
    <col min="13313" max="13313" width="15.7109375" style="360" customWidth="1"/>
    <col min="13314" max="13314" width="18.28515625" style="360" customWidth="1"/>
    <col min="13315" max="13315" width="17.85546875" style="360" customWidth="1"/>
    <col min="13316" max="13316" width="0" style="360" hidden="1" customWidth="1"/>
    <col min="13317" max="13317" width="33.28515625" style="360" customWidth="1"/>
    <col min="13318" max="13565" width="10.7109375" style="360"/>
    <col min="13566" max="13566" width="13.140625" style="360" customWidth="1"/>
    <col min="13567" max="13567" width="38" style="360" customWidth="1"/>
    <col min="13568" max="13568" width="8.42578125" style="360" customWidth="1"/>
    <col min="13569" max="13569" width="15.7109375" style="360" customWidth="1"/>
    <col min="13570" max="13570" width="18.28515625" style="360" customWidth="1"/>
    <col min="13571" max="13571" width="17.85546875" style="360" customWidth="1"/>
    <col min="13572" max="13572" width="0" style="360" hidden="1" customWidth="1"/>
    <col min="13573" max="13573" width="33.28515625" style="360" customWidth="1"/>
    <col min="13574" max="13821" width="10.7109375" style="360"/>
    <col min="13822" max="13822" width="13.140625" style="360" customWidth="1"/>
    <col min="13823" max="13823" width="38" style="360" customWidth="1"/>
    <col min="13824" max="13824" width="8.42578125" style="360" customWidth="1"/>
    <col min="13825" max="13825" width="15.7109375" style="360" customWidth="1"/>
    <col min="13826" max="13826" width="18.28515625" style="360" customWidth="1"/>
    <col min="13827" max="13827" width="17.85546875" style="360" customWidth="1"/>
    <col min="13828" max="13828" width="0" style="360" hidden="1" customWidth="1"/>
    <col min="13829" max="13829" width="33.28515625" style="360" customWidth="1"/>
    <col min="13830" max="14077" width="10.7109375" style="360"/>
    <col min="14078" max="14078" width="13.140625" style="360" customWidth="1"/>
    <col min="14079" max="14079" width="38" style="360" customWidth="1"/>
    <col min="14080" max="14080" width="8.42578125" style="360" customWidth="1"/>
    <col min="14081" max="14081" width="15.7109375" style="360" customWidth="1"/>
    <col min="14082" max="14082" width="18.28515625" style="360" customWidth="1"/>
    <col min="14083" max="14083" width="17.85546875" style="360" customWidth="1"/>
    <col min="14084" max="14084" width="0" style="360" hidden="1" customWidth="1"/>
    <col min="14085" max="14085" width="33.28515625" style="360" customWidth="1"/>
    <col min="14086" max="14333" width="10.7109375" style="360"/>
    <col min="14334" max="14334" width="13.140625" style="360" customWidth="1"/>
    <col min="14335" max="14335" width="38" style="360" customWidth="1"/>
    <col min="14336" max="14336" width="8.42578125" style="360" customWidth="1"/>
    <col min="14337" max="14337" width="15.7109375" style="360" customWidth="1"/>
    <col min="14338" max="14338" width="18.28515625" style="360" customWidth="1"/>
    <col min="14339" max="14339" width="17.85546875" style="360" customWidth="1"/>
    <col min="14340" max="14340" width="0" style="360" hidden="1" customWidth="1"/>
    <col min="14341" max="14341" width="33.28515625" style="360" customWidth="1"/>
    <col min="14342" max="14589" width="10.7109375" style="360"/>
    <col min="14590" max="14590" width="13.140625" style="360" customWidth="1"/>
    <col min="14591" max="14591" width="38" style="360" customWidth="1"/>
    <col min="14592" max="14592" width="8.42578125" style="360" customWidth="1"/>
    <col min="14593" max="14593" width="15.7109375" style="360" customWidth="1"/>
    <col min="14594" max="14594" width="18.28515625" style="360" customWidth="1"/>
    <col min="14595" max="14595" width="17.85546875" style="360" customWidth="1"/>
    <col min="14596" max="14596" width="0" style="360" hidden="1" customWidth="1"/>
    <col min="14597" max="14597" width="33.28515625" style="360" customWidth="1"/>
    <col min="14598" max="14845" width="10.7109375" style="360"/>
    <col min="14846" max="14846" width="13.140625" style="360" customWidth="1"/>
    <col min="14847" max="14847" width="38" style="360" customWidth="1"/>
    <col min="14848" max="14848" width="8.42578125" style="360" customWidth="1"/>
    <col min="14849" max="14849" width="15.7109375" style="360" customWidth="1"/>
    <col min="14850" max="14850" width="18.28515625" style="360" customWidth="1"/>
    <col min="14851" max="14851" width="17.85546875" style="360" customWidth="1"/>
    <col min="14852" max="14852" width="0" style="360" hidden="1" customWidth="1"/>
    <col min="14853" max="14853" width="33.28515625" style="360" customWidth="1"/>
    <col min="14854" max="15101" width="10.7109375" style="360"/>
    <col min="15102" max="15102" width="13.140625" style="360" customWidth="1"/>
    <col min="15103" max="15103" width="38" style="360" customWidth="1"/>
    <col min="15104" max="15104" width="8.42578125" style="360" customWidth="1"/>
    <col min="15105" max="15105" width="15.7109375" style="360" customWidth="1"/>
    <col min="15106" max="15106" width="18.28515625" style="360" customWidth="1"/>
    <col min="15107" max="15107" width="17.85546875" style="360" customWidth="1"/>
    <col min="15108" max="15108" width="0" style="360" hidden="1" customWidth="1"/>
    <col min="15109" max="15109" width="33.28515625" style="360" customWidth="1"/>
    <col min="15110" max="15357" width="10.7109375" style="360"/>
    <col min="15358" max="15358" width="13.140625" style="360" customWidth="1"/>
    <col min="15359" max="15359" width="38" style="360" customWidth="1"/>
    <col min="15360" max="15360" width="8.42578125" style="360" customWidth="1"/>
    <col min="15361" max="15361" width="15.7109375" style="360" customWidth="1"/>
    <col min="15362" max="15362" width="18.28515625" style="360" customWidth="1"/>
    <col min="15363" max="15363" width="17.85546875" style="360" customWidth="1"/>
    <col min="15364" max="15364" width="0" style="360" hidden="1" customWidth="1"/>
    <col min="15365" max="15365" width="33.28515625" style="360" customWidth="1"/>
    <col min="15366" max="15613" width="10.7109375" style="360"/>
    <col min="15614" max="15614" width="13.140625" style="360" customWidth="1"/>
    <col min="15615" max="15615" width="38" style="360" customWidth="1"/>
    <col min="15616" max="15616" width="8.42578125" style="360" customWidth="1"/>
    <col min="15617" max="15617" width="15.7109375" style="360" customWidth="1"/>
    <col min="15618" max="15618" width="18.28515625" style="360" customWidth="1"/>
    <col min="15619" max="15619" width="17.85546875" style="360" customWidth="1"/>
    <col min="15620" max="15620" width="0" style="360" hidden="1" customWidth="1"/>
    <col min="15621" max="15621" width="33.28515625" style="360" customWidth="1"/>
    <col min="15622" max="15869" width="10.7109375" style="360"/>
    <col min="15870" max="15870" width="13.140625" style="360" customWidth="1"/>
    <col min="15871" max="15871" width="38" style="360" customWidth="1"/>
    <col min="15872" max="15872" width="8.42578125" style="360" customWidth="1"/>
    <col min="15873" max="15873" width="15.7109375" style="360" customWidth="1"/>
    <col min="15874" max="15874" width="18.28515625" style="360" customWidth="1"/>
    <col min="15875" max="15875" width="17.85546875" style="360" customWidth="1"/>
    <col min="15876" max="15876" width="0" style="360" hidden="1" customWidth="1"/>
    <col min="15877" max="15877" width="33.28515625" style="360" customWidth="1"/>
    <col min="15878" max="16125" width="10.7109375" style="360"/>
    <col min="16126" max="16126" width="13.140625" style="360" customWidth="1"/>
    <col min="16127" max="16127" width="38" style="360" customWidth="1"/>
    <col min="16128" max="16128" width="8.42578125" style="360" customWidth="1"/>
    <col min="16129" max="16129" width="15.7109375" style="360" customWidth="1"/>
    <col min="16130" max="16130" width="18.28515625" style="360" customWidth="1"/>
    <col min="16131" max="16131" width="17.85546875" style="360" customWidth="1"/>
    <col min="16132" max="16132" width="0" style="360" hidden="1" customWidth="1"/>
    <col min="16133" max="16133" width="33.28515625" style="360" customWidth="1"/>
    <col min="16134" max="16384" width="10.7109375" style="360"/>
  </cols>
  <sheetData>
    <row r="1" spans="1:9" ht="13.9" customHeight="1" x14ac:dyDescent="0.25">
      <c r="A1" s="1449" t="s">
        <v>1805</v>
      </c>
      <c r="B1" s="1449"/>
      <c r="C1" s="1449"/>
      <c r="D1" s="1449"/>
      <c r="E1" s="1449"/>
      <c r="F1" s="1449"/>
      <c r="G1" s="1449"/>
      <c r="H1" s="1449"/>
    </row>
    <row r="2" spans="1:9" x14ac:dyDescent="0.25">
      <c r="A2" s="1449"/>
      <c r="B2" s="1449"/>
      <c r="C2" s="1449"/>
      <c r="D2" s="1449"/>
      <c r="E2" s="1449"/>
      <c r="F2" s="1449"/>
      <c r="G2" s="1449"/>
      <c r="H2" s="1449"/>
    </row>
    <row r="3" spans="1:9" ht="13.15" x14ac:dyDescent="0.3">
      <c r="A3" s="359"/>
      <c r="B3" s="359"/>
      <c r="C3" s="357"/>
      <c r="D3" s="779"/>
      <c r="E3" s="358"/>
      <c r="F3" s="358"/>
      <c r="G3" s="359"/>
      <c r="H3" s="362"/>
    </row>
    <row r="4" spans="1:9" ht="13.15" x14ac:dyDescent="0.3">
      <c r="A4" s="1445" t="s">
        <v>1217</v>
      </c>
      <c r="B4" s="1445"/>
      <c r="C4" s="1445"/>
      <c r="D4" s="1445"/>
      <c r="E4" s="1445"/>
      <c r="F4" s="1445"/>
      <c r="G4" s="1445"/>
      <c r="H4" s="1445"/>
    </row>
    <row r="5" spans="1:9" ht="13.15" x14ac:dyDescent="0.3">
      <c r="A5" s="1445" t="s">
        <v>1455</v>
      </c>
      <c r="B5" s="1445"/>
      <c r="C5" s="1445"/>
      <c r="D5" s="1445"/>
      <c r="E5" s="1445"/>
      <c r="F5" s="1445"/>
      <c r="G5" s="1445"/>
      <c r="H5" s="1445"/>
    </row>
    <row r="6" spans="1:9" x14ac:dyDescent="0.25">
      <c r="A6" s="1445" t="s">
        <v>1803</v>
      </c>
      <c r="B6" s="1445"/>
      <c r="C6" s="1445"/>
      <c r="D6" s="1445"/>
      <c r="E6" s="1445"/>
      <c r="F6" s="1445"/>
      <c r="G6" s="1445"/>
      <c r="H6" s="1445"/>
    </row>
    <row r="7" spans="1:9" ht="13.15" x14ac:dyDescent="0.3">
      <c r="A7" s="539"/>
      <c r="B7" s="361"/>
      <c r="C7" s="539"/>
      <c r="D7" s="780"/>
      <c r="E7" s="560"/>
      <c r="F7" s="560"/>
      <c r="G7" s="539"/>
      <c r="H7" s="356"/>
    </row>
    <row r="8" spans="1:9" ht="13.15" x14ac:dyDescent="0.3">
      <c r="A8" s="359"/>
      <c r="B8" s="359"/>
      <c r="C8" s="357"/>
      <c r="D8" s="788">
        <v>1</v>
      </c>
      <c r="E8" s="358"/>
      <c r="F8" s="358"/>
      <c r="G8" s="359"/>
      <c r="H8" s="362"/>
    </row>
    <row r="9" spans="1:9" ht="38.25" x14ac:dyDescent="0.25">
      <c r="A9" s="1446" t="s">
        <v>1179</v>
      </c>
      <c r="B9" s="1446" t="s">
        <v>1180</v>
      </c>
      <c r="C9" s="1446" t="s">
        <v>1181</v>
      </c>
      <c r="D9" s="1447" t="s">
        <v>1456</v>
      </c>
      <c r="E9" s="1448" t="s">
        <v>1456</v>
      </c>
      <c r="F9" s="561" t="s">
        <v>1183</v>
      </c>
      <c r="G9" s="1446" t="s">
        <v>1184</v>
      </c>
      <c r="H9" s="1446" t="s">
        <v>1185</v>
      </c>
    </row>
    <row r="10" spans="1:9" ht="25.5" x14ac:dyDescent="0.25">
      <c r="A10" s="1446"/>
      <c r="B10" s="1446"/>
      <c r="C10" s="1446"/>
      <c r="D10" s="1447"/>
      <c r="E10" s="1448"/>
      <c r="F10" s="561" t="s">
        <v>1186</v>
      </c>
      <c r="G10" s="1446"/>
      <c r="H10" s="1446"/>
    </row>
    <row r="11" spans="1:9" ht="13.15" x14ac:dyDescent="0.3">
      <c r="A11" s="65">
        <v>1</v>
      </c>
      <c r="B11" s="65">
        <v>2</v>
      </c>
      <c r="C11" s="65">
        <v>3</v>
      </c>
      <c r="D11" s="778">
        <v>4</v>
      </c>
      <c r="E11" s="562">
        <v>4</v>
      </c>
      <c r="F11" s="562">
        <v>5</v>
      </c>
      <c r="G11" s="65">
        <v>7</v>
      </c>
      <c r="H11" s="65">
        <v>6</v>
      </c>
    </row>
    <row r="12" spans="1:9" ht="13.15" x14ac:dyDescent="0.3">
      <c r="A12" s="563" t="s">
        <v>1457</v>
      </c>
      <c r="B12" s="564"/>
      <c r="C12" s="565"/>
      <c r="D12" s="781"/>
      <c r="E12" s="565"/>
      <c r="F12" s="565"/>
      <c r="G12" s="565"/>
      <c r="H12" s="566"/>
    </row>
    <row r="13" spans="1:9" ht="13.15" x14ac:dyDescent="0.3">
      <c r="A13" s="364" t="s">
        <v>1458</v>
      </c>
      <c r="B13" s="530"/>
      <c r="C13" s="531"/>
      <c r="D13" s="783"/>
      <c r="E13" s="532"/>
      <c r="F13" s="532">
        <f t="shared" ref="F13" si="0">E13*C13</f>
        <v>0</v>
      </c>
      <c r="G13" s="530"/>
      <c r="H13" s="533"/>
    </row>
    <row r="14" spans="1:9" ht="14.45" x14ac:dyDescent="0.3">
      <c r="A14" s="364" t="s">
        <v>1459</v>
      </c>
      <c r="B14" s="840"/>
      <c r="C14" s="531"/>
      <c r="D14" s="783"/>
      <c r="E14" s="532"/>
      <c r="F14" s="532">
        <f>C14*E14</f>
        <v>0</v>
      </c>
      <c r="G14" s="530"/>
      <c r="H14" s="567"/>
      <c r="I14" s="796"/>
    </row>
    <row r="15" spans="1:9" ht="14.45" x14ac:dyDescent="0.3">
      <c r="A15" s="364" t="s">
        <v>1460</v>
      </c>
      <c r="B15" s="840"/>
      <c r="C15" s="531"/>
      <c r="D15" s="783"/>
      <c r="E15" s="532"/>
      <c r="F15" s="532">
        <f>E15*C15</f>
        <v>0</v>
      </c>
      <c r="G15" s="530"/>
      <c r="H15" s="567"/>
      <c r="I15" s="796"/>
    </row>
    <row r="16" spans="1:9" ht="14.45" x14ac:dyDescent="0.3">
      <c r="A16" s="364" t="s">
        <v>1461</v>
      </c>
      <c r="B16" s="530"/>
      <c r="C16" s="531"/>
      <c r="D16" s="783"/>
      <c r="E16" s="532"/>
      <c r="F16" s="532">
        <f t="shared" ref="F16" si="1">E16*C16</f>
        <v>0</v>
      </c>
      <c r="G16" s="530"/>
      <c r="H16" s="533"/>
      <c r="I16" s="426"/>
    </row>
    <row r="17" spans="1:11" ht="13.15" x14ac:dyDescent="0.3">
      <c r="A17" s="364" t="s">
        <v>1462</v>
      </c>
      <c r="B17" s="530"/>
      <c r="C17" s="531"/>
      <c r="D17" s="783"/>
      <c r="E17" s="532"/>
      <c r="F17" s="532">
        <f>E17*C17</f>
        <v>0</v>
      </c>
      <c r="G17" s="530"/>
      <c r="H17" s="567"/>
      <c r="I17" s="405"/>
    </row>
    <row r="18" spans="1:11" ht="14.45" x14ac:dyDescent="0.3">
      <c r="A18" s="364" t="s">
        <v>1463</v>
      </c>
      <c r="B18" s="840"/>
      <c r="C18" s="531"/>
      <c r="D18" s="783"/>
      <c r="E18" s="532"/>
      <c r="F18" s="532">
        <f>E18*C18</f>
        <v>0</v>
      </c>
      <c r="G18" s="530"/>
      <c r="H18" s="567"/>
      <c r="I18" s="796"/>
    </row>
    <row r="19" spans="1:11" ht="14.45" x14ac:dyDescent="0.3">
      <c r="A19" s="364" t="s">
        <v>1464</v>
      </c>
      <c r="B19" s="840"/>
      <c r="C19" s="531"/>
      <c r="D19" s="783"/>
      <c r="E19" s="532"/>
      <c r="F19" s="532">
        <f>E19*C19</f>
        <v>0</v>
      </c>
      <c r="G19" s="530"/>
      <c r="H19" s="567"/>
      <c r="I19" s="796"/>
    </row>
    <row r="20" spans="1:11" ht="14.45" x14ac:dyDescent="0.3">
      <c r="A20" s="364" t="s">
        <v>1465</v>
      </c>
      <c r="B20" s="530"/>
      <c r="C20" s="531"/>
      <c r="D20" s="783"/>
      <c r="E20" s="532"/>
      <c r="F20" s="532">
        <f t="shared" ref="F20" si="2">C20*E20</f>
        <v>0</v>
      </c>
      <c r="G20" s="530"/>
      <c r="H20" s="533"/>
      <c r="I20" s="426"/>
    </row>
    <row r="21" spans="1:11" ht="13.15" x14ac:dyDescent="0.3">
      <c r="A21" s="563" t="s">
        <v>1481</v>
      </c>
      <c r="B21" s="564"/>
      <c r="C21" s="574"/>
      <c r="D21" s="772"/>
      <c r="E21" s="575"/>
      <c r="F21" s="575"/>
      <c r="G21" s="576"/>
      <c r="H21" s="577"/>
      <c r="I21" s="530"/>
    </row>
    <row r="22" spans="1:11" ht="14.45" x14ac:dyDescent="0.3">
      <c r="A22" s="366" t="s">
        <v>1482</v>
      </c>
      <c r="B22" s="549"/>
      <c r="C22" s="550"/>
      <c r="D22" s="769"/>
      <c r="E22" s="395"/>
      <c r="F22" s="369">
        <f>E22*C22</f>
        <v>0</v>
      </c>
      <c r="G22" s="551"/>
      <c r="H22" s="552"/>
      <c r="I22" s="553"/>
      <c r="K22" s="559"/>
    </row>
    <row r="23" spans="1:11" ht="14.45" x14ac:dyDescent="0.3">
      <c r="A23" s="366" t="s">
        <v>1483</v>
      </c>
      <c r="B23" s="549"/>
      <c r="C23" s="550"/>
      <c r="D23" s="769"/>
      <c r="E23" s="395"/>
      <c r="F23" s="369">
        <f>E23*C23</f>
        <v>0</v>
      </c>
      <c r="G23" s="551"/>
      <c r="H23" s="552"/>
      <c r="I23" s="553"/>
      <c r="K23" s="559"/>
    </row>
    <row r="24" spans="1:11" ht="13.15" x14ac:dyDescent="0.3">
      <c r="A24" s="1444" t="s">
        <v>545</v>
      </c>
      <c r="B24" s="1444"/>
      <c r="C24" s="1444"/>
      <c r="D24" s="1444"/>
      <c r="E24" s="538"/>
      <c r="F24" s="370">
        <f>SUM(F13:F23)</f>
        <v>0</v>
      </c>
      <c r="G24" s="1444" t="s">
        <v>1188</v>
      </c>
      <c r="H24" s="1444"/>
    </row>
    <row r="25" spans="1:11" ht="13.15" x14ac:dyDescent="0.3">
      <c r="A25" s="359"/>
      <c r="B25" s="359"/>
      <c r="C25" s="372"/>
      <c r="D25" s="779"/>
      <c r="E25" s="358"/>
      <c r="F25" s="358"/>
      <c r="G25" s="359"/>
      <c r="H25" s="362"/>
    </row>
    <row r="26" spans="1:11" ht="13.9" x14ac:dyDescent="0.25">
      <c r="A26" s="359"/>
      <c r="B26" s="359"/>
      <c r="C26" s="357"/>
      <c r="D26" s="779"/>
      <c r="E26" s="358"/>
      <c r="F26" s="358"/>
      <c r="G26" s="359"/>
      <c r="H26" s="44" t="s">
        <v>82</v>
      </c>
    </row>
    <row r="27" spans="1:11" ht="13.9" x14ac:dyDescent="0.25">
      <c r="A27" s="359"/>
      <c r="B27" s="359"/>
      <c r="C27" s="357"/>
      <c r="D27" s="779"/>
      <c r="E27" s="358"/>
      <c r="F27" s="358"/>
      <c r="G27" s="359"/>
      <c r="H27" s="45"/>
    </row>
    <row r="28" spans="1:11" ht="13.9" x14ac:dyDescent="0.25">
      <c r="A28" s="359"/>
      <c r="B28" s="359"/>
      <c r="C28" s="357"/>
      <c r="D28" s="779"/>
      <c r="E28" s="358"/>
      <c r="F28" s="358"/>
      <c r="G28" s="359"/>
      <c r="H28" s="44" t="s">
        <v>1516</v>
      </c>
    </row>
    <row r="29" spans="1:11" ht="13.9" x14ac:dyDescent="0.25">
      <c r="A29" s="359"/>
      <c r="B29" s="359"/>
      <c r="C29" s="357"/>
      <c r="D29" s="779"/>
      <c r="E29" s="358"/>
      <c r="F29" s="358"/>
      <c r="G29" s="359"/>
      <c r="H29" s="45" t="s">
        <v>83</v>
      </c>
    </row>
    <row r="30" spans="1:11" ht="13.9" x14ac:dyDescent="0.25">
      <c r="A30" s="359"/>
      <c r="B30" s="359"/>
      <c r="C30" s="357"/>
      <c r="D30" s="779"/>
      <c r="E30" s="358"/>
      <c r="F30" s="358"/>
      <c r="G30" s="359"/>
      <c r="H30" s="45" t="s">
        <v>1517</v>
      </c>
    </row>
    <row r="31" spans="1:11" ht="13.15" x14ac:dyDescent="0.3">
      <c r="A31" s="359"/>
      <c r="B31" s="359"/>
      <c r="C31" s="357"/>
      <c r="D31" s="779"/>
      <c r="E31" s="358"/>
      <c r="F31" s="358"/>
      <c r="G31" s="359"/>
      <c r="H31" s="362"/>
    </row>
    <row r="33" spans="1:13" ht="13.15" x14ac:dyDescent="0.3">
      <c r="A33" s="378"/>
    </row>
    <row r="34" spans="1:13" ht="13.15" x14ac:dyDescent="0.3">
      <c r="A34" s="378"/>
      <c r="H34" s="389"/>
    </row>
    <row r="35" spans="1:13" x14ac:dyDescent="0.25">
      <c r="A35" s="378"/>
    </row>
    <row r="36" spans="1:13" x14ac:dyDescent="0.25">
      <c r="A36" s="378"/>
      <c r="H36" s="389"/>
    </row>
    <row r="37" spans="1:13" x14ac:dyDescent="0.25">
      <c r="A37" s="378"/>
    </row>
    <row r="38" spans="1:13" x14ac:dyDescent="0.25">
      <c r="A38" s="378"/>
      <c r="H38" s="389"/>
    </row>
    <row r="39" spans="1:13" x14ac:dyDescent="0.25">
      <c r="A39" s="378"/>
    </row>
    <row r="40" spans="1:13" x14ac:dyDescent="0.25">
      <c r="A40" s="378"/>
    </row>
    <row r="41" spans="1:13" x14ac:dyDescent="0.25">
      <c r="A41" s="378"/>
      <c r="H41" s="389"/>
    </row>
    <row r="42" spans="1:13" x14ac:dyDescent="0.25">
      <c r="A42" s="378"/>
      <c r="I42" s="374"/>
      <c r="J42" s="374"/>
      <c r="K42" s="374"/>
      <c r="L42" s="374"/>
      <c r="M42" s="374"/>
    </row>
    <row r="43" spans="1:13" x14ac:dyDescent="0.25">
      <c r="A43" s="378"/>
      <c r="H43" s="389"/>
      <c r="I43" s="374"/>
      <c r="J43" s="374"/>
      <c r="K43" s="374"/>
      <c r="L43" s="374"/>
      <c r="M43" s="374"/>
    </row>
    <row r="44" spans="1:13" x14ac:dyDescent="0.25">
      <c r="A44" s="378"/>
      <c r="I44" s="374"/>
      <c r="J44" s="374"/>
      <c r="K44" s="374"/>
      <c r="L44" s="374"/>
      <c r="M44" s="374"/>
    </row>
    <row r="45" spans="1:13" x14ac:dyDescent="0.25">
      <c r="A45" s="378"/>
      <c r="I45" s="374"/>
      <c r="J45" s="374"/>
      <c r="K45" s="374"/>
      <c r="L45" s="374"/>
      <c r="M45" s="374"/>
    </row>
    <row r="46" spans="1:13" x14ac:dyDescent="0.25">
      <c r="A46" s="378"/>
      <c r="H46" s="389"/>
      <c r="I46" s="374"/>
      <c r="J46" s="374"/>
      <c r="K46" s="374"/>
      <c r="L46" s="374"/>
      <c r="M46" s="374"/>
    </row>
    <row r="47" spans="1:13" x14ac:dyDescent="0.25">
      <c r="A47" s="378"/>
      <c r="B47" s="363"/>
      <c r="H47" s="389"/>
      <c r="I47" s="374"/>
      <c r="J47" s="374"/>
      <c r="K47" s="374"/>
      <c r="L47" s="374"/>
      <c r="M47" s="374"/>
    </row>
    <row r="48" spans="1:13" x14ac:dyDescent="0.25">
      <c r="A48" s="378"/>
      <c r="H48" s="389"/>
      <c r="I48" s="374"/>
      <c r="J48" s="374"/>
      <c r="K48" s="374"/>
      <c r="L48" s="374"/>
      <c r="M48" s="374"/>
    </row>
    <row r="49" spans="1:13" x14ac:dyDescent="0.25">
      <c r="A49" s="378"/>
      <c r="H49" s="389"/>
      <c r="I49" s="374"/>
      <c r="J49" s="374"/>
      <c r="K49" s="374"/>
      <c r="L49" s="374"/>
      <c r="M49" s="374"/>
    </row>
    <row r="50" spans="1:13" x14ac:dyDescent="0.25">
      <c r="A50" s="378"/>
      <c r="H50" s="389"/>
      <c r="I50" s="374"/>
      <c r="J50" s="374"/>
      <c r="K50" s="374"/>
      <c r="L50" s="374"/>
      <c r="M50" s="374"/>
    </row>
    <row r="51" spans="1:13" x14ac:dyDescent="0.25">
      <c r="A51" s="378"/>
      <c r="H51" s="389"/>
      <c r="I51" s="374"/>
      <c r="J51" s="374"/>
      <c r="K51" s="374"/>
      <c r="L51" s="374"/>
      <c r="M51" s="374"/>
    </row>
    <row r="52" spans="1:13" x14ac:dyDescent="0.25">
      <c r="A52" s="378"/>
      <c r="H52" s="389"/>
      <c r="I52" s="374"/>
      <c r="J52" s="374"/>
      <c r="K52" s="374"/>
      <c r="L52" s="374"/>
      <c r="M52" s="374"/>
    </row>
    <row r="53" spans="1:13" x14ac:dyDescent="0.25">
      <c r="A53" s="378"/>
      <c r="H53" s="389"/>
      <c r="I53" s="374"/>
      <c r="J53" s="374"/>
      <c r="K53" s="374"/>
      <c r="L53" s="374"/>
      <c r="M53" s="374"/>
    </row>
    <row r="54" spans="1:13" x14ac:dyDescent="0.25">
      <c r="A54" s="376"/>
      <c r="D54" s="786"/>
      <c r="E54" s="380"/>
      <c r="F54" s="380"/>
      <c r="G54" s="374"/>
      <c r="I54" s="374"/>
      <c r="J54" s="374"/>
      <c r="K54" s="374"/>
      <c r="L54" s="374"/>
      <c r="M54" s="374"/>
    </row>
    <row r="55" spans="1:13" x14ac:dyDescent="0.25">
      <c r="A55" s="376"/>
      <c r="D55" s="786"/>
      <c r="E55" s="380"/>
      <c r="F55" s="380"/>
      <c r="G55" s="374"/>
      <c r="I55" s="374"/>
      <c r="J55" s="374"/>
      <c r="K55" s="374"/>
      <c r="L55" s="374"/>
      <c r="M55" s="374"/>
    </row>
    <row r="56" spans="1:13" x14ac:dyDescent="0.25">
      <c r="D56" s="786"/>
      <c r="E56" s="380"/>
      <c r="F56" s="380"/>
      <c r="G56" s="374"/>
      <c r="I56" s="374"/>
      <c r="J56" s="374"/>
      <c r="K56" s="374"/>
      <c r="L56" s="374"/>
      <c r="M56" s="374"/>
    </row>
    <row r="57" spans="1:13" x14ac:dyDescent="0.25">
      <c r="D57" s="786"/>
      <c r="E57" s="380"/>
      <c r="F57" s="380"/>
      <c r="G57" s="374"/>
      <c r="I57" s="374"/>
      <c r="J57" s="374"/>
      <c r="K57" s="374"/>
      <c r="L57" s="374"/>
      <c r="M57" s="374"/>
    </row>
    <row r="58" spans="1:13" x14ac:dyDescent="0.25">
      <c r="A58" s="376"/>
      <c r="D58" s="786"/>
      <c r="E58" s="380"/>
      <c r="F58" s="380"/>
      <c r="G58" s="374"/>
      <c r="I58" s="374"/>
      <c r="J58" s="374"/>
      <c r="K58" s="374"/>
      <c r="L58" s="374"/>
      <c r="M58" s="374"/>
    </row>
    <row r="59" spans="1:13" x14ac:dyDescent="0.25">
      <c r="A59" s="376"/>
      <c r="D59" s="786"/>
      <c r="E59" s="380"/>
      <c r="F59" s="380"/>
      <c r="G59" s="374"/>
      <c r="I59" s="374"/>
      <c r="J59" s="374"/>
      <c r="K59" s="374"/>
      <c r="L59" s="374"/>
      <c r="M59" s="374"/>
    </row>
    <row r="60" spans="1:13" x14ac:dyDescent="0.25">
      <c r="A60" s="376"/>
      <c r="D60" s="786"/>
      <c r="E60" s="380"/>
      <c r="F60" s="380"/>
      <c r="G60" s="374"/>
      <c r="I60" s="374"/>
      <c r="J60" s="374"/>
      <c r="K60" s="374"/>
      <c r="L60" s="374"/>
      <c r="M60" s="374"/>
    </row>
    <row r="61" spans="1:13" x14ac:dyDescent="0.25">
      <c r="A61" s="376"/>
      <c r="D61" s="786"/>
      <c r="E61" s="380"/>
      <c r="F61" s="380"/>
      <c r="G61" s="374"/>
      <c r="I61" s="374"/>
      <c r="J61" s="374"/>
      <c r="K61" s="374"/>
      <c r="L61" s="374"/>
      <c r="M61" s="374"/>
    </row>
    <row r="62" spans="1:13" x14ac:dyDescent="0.25">
      <c r="A62" s="376"/>
      <c r="D62" s="786"/>
      <c r="E62" s="380"/>
      <c r="F62" s="380"/>
      <c r="G62" s="374"/>
      <c r="I62" s="374"/>
      <c r="J62" s="374"/>
      <c r="K62" s="374"/>
      <c r="L62" s="374"/>
      <c r="M62" s="374"/>
    </row>
    <row r="63" spans="1:13" x14ac:dyDescent="0.25">
      <c r="A63" s="376"/>
      <c r="D63" s="786"/>
      <c r="E63" s="380"/>
      <c r="F63" s="380"/>
      <c r="G63" s="374"/>
      <c r="I63" s="374"/>
      <c r="J63" s="374"/>
      <c r="K63" s="374"/>
      <c r="L63" s="374"/>
      <c r="M63" s="374"/>
    </row>
    <row r="64" spans="1:13" x14ac:dyDescent="0.25">
      <c r="A64" s="376"/>
      <c r="D64" s="786"/>
      <c r="E64" s="380"/>
      <c r="F64" s="380"/>
      <c r="G64" s="374"/>
      <c r="I64" s="374"/>
      <c r="J64" s="374"/>
      <c r="K64" s="374"/>
      <c r="L64" s="374"/>
      <c r="M64" s="374"/>
    </row>
    <row r="65" spans="1:13" x14ac:dyDescent="0.25">
      <c r="A65" s="376"/>
      <c r="D65" s="786"/>
      <c r="E65" s="380"/>
      <c r="F65" s="380"/>
      <c r="G65" s="374"/>
      <c r="I65" s="374"/>
      <c r="J65" s="374"/>
      <c r="K65" s="374"/>
      <c r="L65" s="374"/>
      <c r="M65" s="374"/>
    </row>
    <row r="66" spans="1:13" x14ac:dyDescent="0.25">
      <c r="A66" s="376"/>
      <c r="D66" s="786"/>
      <c r="E66" s="380"/>
      <c r="F66" s="380"/>
      <c r="G66" s="374"/>
      <c r="I66" s="374"/>
      <c r="J66" s="374"/>
      <c r="K66" s="374"/>
      <c r="L66" s="374"/>
      <c r="M66" s="374"/>
    </row>
    <row r="67" spans="1:13" x14ac:dyDescent="0.25">
      <c r="A67" s="376"/>
      <c r="D67" s="786"/>
      <c r="E67" s="380"/>
      <c r="F67" s="380"/>
      <c r="G67" s="374"/>
      <c r="I67" s="374"/>
      <c r="J67" s="374"/>
      <c r="K67" s="374"/>
      <c r="L67" s="374"/>
      <c r="M67" s="374"/>
    </row>
    <row r="68" spans="1:13" x14ac:dyDescent="0.25">
      <c r="A68" s="376"/>
      <c r="D68" s="786"/>
      <c r="E68" s="380"/>
      <c r="F68" s="380"/>
      <c r="G68" s="374"/>
      <c r="I68" s="374"/>
      <c r="J68" s="374"/>
      <c r="K68" s="374"/>
      <c r="L68" s="374"/>
      <c r="M68" s="374"/>
    </row>
    <row r="69" spans="1:13" x14ac:dyDescent="0.25">
      <c r="A69" s="376"/>
      <c r="D69" s="786"/>
      <c r="E69" s="380"/>
      <c r="F69" s="380"/>
      <c r="G69" s="374"/>
      <c r="I69" s="374"/>
      <c r="J69" s="374"/>
      <c r="K69" s="374"/>
      <c r="L69" s="374"/>
      <c r="M69" s="374"/>
    </row>
    <row r="70" spans="1:13" x14ac:dyDescent="0.25">
      <c r="A70" s="376"/>
      <c r="D70" s="786"/>
      <c r="E70" s="380"/>
      <c r="F70" s="380"/>
      <c r="G70" s="374"/>
      <c r="I70" s="374"/>
      <c r="J70" s="374"/>
      <c r="K70" s="374"/>
      <c r="L70" s="374"/>
      <c r="M70" s="374"/>
    </row>
    <row r="71" spans="1:13" x14ac:dyDescent="0.25">
      <c r="A71" s="376"/>
      <c r="D71" s="786"/>
      <c r="E71" s="380"/>
      <c r="F71" s="380"/>
      <c r="G71" s="374"/>
      <c r="I71" s="374"/>
      <c r="J71" s="374"/>
      <c r="K71" s="374"/>
      <c r="L71" s="374"/>
      <c r="M71" s="374"/>
    </row>
    <row r="72" spans="1:13" x14ac:dyDescent="0.25">
      <c r="A72" s="376"/>
      <c r="D72" s="786"/>
      <c r="E72" s="380"/>
      <c r="F72" s="380"/>
      <c r="G72" s="374"/>
      <c r="I72" s="374"/>
      <c r="J72" s="374"/>
      <c r="K72" s="374"/>
      <c r="L72" s="374"/>
      <c r="M72" s="374"/>
    </row>
    <row r="73" spans="1:13" x14ac:dyDescent="0.25">
      <c r="A73" s="376"/>
      <c r="D73" s="786"/>
      <c r="E73" s="380"/>
      <c r="F73" s="380"/>
      <c r="G73" s="374"/>
      <c r="I73" s="374"/>
      <c r="J73" s="374"/>
      <c r="K73" s="374"/>
      <c r="L73" s="374"/>
      <c r="M73" s="374"/>
    </row>
    <row r="74" spans="1:13" x14ac:dyDescent="0.25">
      <c r="D74" s="786"/>
      <c r="E74" s="380"/>
      <c r="F74" s="380"/>
      <c r="G74" s="374"/>
      <c r="I74" s="374"/>
      <c r="J74" s="374"/>
      <c r="K74" s="374"/>
      <c r="L74" s="374"/>
      <c r="M74" s="374"/>
    </row>
    <row r="75" spans="1:13" x14ac:dyDescent="0.25">
      <c r="D75" s="786"/>
      <c r="E75" s="380"/>
      <c r="F75" s="380"/>
      <c r="G75" s="374"/>
      <c r="I75" s="374"/>
      <c r="J75" s="374"/>
      <c r="K75" s="374"/>
      <c r="L75" s="374"/>
      <c r="M75" s="374"/>
    </row>
    <row r="76" spans="1:13" x14ac:dyDescent="0.25">
      <c r="D76" s="786"/>
      <c r="E76" s="380"/>
      <c r="F76" s="380"/>
      <c r="G76" s="374"/>
      <c r="I76" s="374"/>
      <c r="J76" s="374"/>
      <c r="K76" s="374"/>
      <c r="L76" s="374"/>
      <c r="M76" s="374"/>
    </row>
    <row r="77" spans="1:13" x14ac:dyDescent="0.25">
      <c r="A77" s="376"/>
      <c r="D77" s="786"/>
      <c r="E77" s="380"/>
      <c r="F77" s="380"/>
      <c r="G77" s="374"/>
      <c r="I77" s="374"/>
      <c r="J77" s="374"/>
      <c r="K77" s="374"/>
      <c r="L77" s="374"/>
      <c r="M77" s="374"/>
    </row>
    <row r="78" spans="1:13" x14ac:dyDescent="0.25">
      <c r="A78" s="376"/>
      <c r="D78" s="786"/>
      <c r="E78" s="380"/>
      <c r="F78" s="380"/>
      <c r="G78" s="374"/>
      <c r="I78" s="374"/>
      <c r="J78" s="374"/>
      <c r="K78" s="374"/>
      <c r="L78" s="374"/>
      <c r="M78" s="374"/>
    </row>
    <row r="79" spans="1:13" x14ac:dyDescent="0.25">
      <c r="A79" s="376"/>
      <c r="D79" s="786"/>
      <c r="E79" s="380"/>
      <c r="F79" s="380"/>
      <c r="G79" s="374"/>
      <c r="I79" s="374"/>
      <c r="J79" s="374"/>
      <c r="K79" s="374"/>
      <c r="L79" s="374"/>
      <c r="M79" s="374"/>
    </row>
    <row r="80" spans="1:13" x14ac:dyDescent="0.25">
      <c r="A80" s="376"/>
      <c r="D80" s="786"/>
      <c r="E80" s="380"/>
      <c r="F80" s="380"/>
      <c r="G80" s="374"/>
      <c r="I80" s="374"/>
      <c r="J80" s="374"/>
      <c r="K80" s="374"/>
      <c r="L80" s="374"/>
      <c r="M80" s="374"/>
    </row>
    <row r="81" spans="1:14" x14ac:dyDescent="0.25">
      <c r="A81" s="376"/>
      <c r="D81" s="786"/>
      <c r="E81" s="380"/>
      <c r="F81" s="380"/>
      <c r="G81" s="374"/>
      <c r="I81" s="374"/>
      <c r="J81" s="374"/>
      <c r="K81" s="374"/>
      <c r="L81" s="374"/>
      <c r="M81" s="374"/>
    </row>
    <row r="82" spans="1:14" x14ac:dyDescent="0.25">
      <c r="A82" s="376"/>
      <c r="D82" s="786"/>
      <c r="E82" s="380"/>
      <c r="F82" s="380"/>
      <c r="G82" s="374"/>
      <c r="I82" s="374"/>
      <c r="J82" s="374"/>
      <c r="K82" s="374"/>
      <c r="L82" s="374"/>
      <c r="M82" s="374"/>
    </row>
    <row r="83" spans="1:14" x14ac:dyDescent="0.25">
      <c r="A83" s="376"/>
      <c r="D83" s="786"/>
      <c r="E83" s="380"/>
      <c r="F83" s="380"/>
      <c r="G83" s="374"/>
      <c r="I83" s="374"/>
      <c r="J83" s="374"/>
      <c r="K83" s="374"/>
      <c r="L83" s="374"/>
      <c r="M83" s="374"/>
    </row>
    <row r="84" spans="1:14" x14ac:dyDescent="0.25">
      <c r="A84" s="376"/>
      <c r="D84" s="786"/>
      <c r="E84" s="380"/>
      <c r="F84" s="380"/>
      <c r="G84" s="374"/>
      <c r="I84" s="374"/>
      <c r="J84" s="374"/>
      <c r="K84" s="374"/>
      <c r="L84" s="374"/>
      <c r="M84" s="374"/>
    </row>
    <row r="85" spans="1:14" x14ac:dyDescent="0.25">
      <c r="D85" s="786"/>
      <c r="E85" s="380"/>
      <c r="F85" s="380"/>
      <c r="G85" s="374"/>
      <c r="I85" s="374"/>
      <c r="J85" s="374"/>
      <c r="K85" s="374"/>
      <c r="L85" s="374"/>
      <c r="M85" s="374"/>
    </row>
    <row r="86" spans="1:14" x14ac:dyDescent="0.25">
      <c r="C86" s="381"/>
      <c r="D86" s="787"/>
      <c r="E86" s="382"/>
    </row>
    <row r="87" spans="1:14" s="375" customFormat="1" x14ac:dyDescent="0.25">
      <c r="A87" s="376"/>
      <c r="B87" s="360"/>
      <c r="C87" s="381"/>
      <c r="D87" s="787"/>
      <c r="E87" s="382"/>
      <c r="G87" s="360"/>
      <c r="H87" s="373"/>
      <c r="I87" s="360"/>
      <c r="J87" s="360"/>
      <c r="K87" s="360"/>
      <c r="L87" s="360"/>
      <c r="M87" s="360"/>
      <c r="N87" s="360"/>
    </row>
    <row r="88" spans="1:14" s="375" customFormat="1" x14ac:dyDescent="0.25">
      <c r="A88" s="376"/>
      <c r="B88" s="360"/>
      <c r="C88" s="381"/>
      <c r="D88" s="787"/>
      <c r="E88" s="382"/>
      <c r="G88" s="360"/>
      <c r="H88" s="373"/>
      <c r="I88" s="360"/>
      <c r="J88" s="360"/>
      <c r="K88" s="360"/>
      <c r="L88" s="360"/>
      <c r="M88" s="360"/>
      <c r="N88" s="360"/>
    </row>
    <row r="89" spans="1:14" s="375" customFormat="1" x14ac:dyDescent="0.25">
      <c r="A89" s="376"/>
      <c r="B89" s="360"/>
      <c r="C89" s="381"/>
      <c r="D89" s="787"/>
      <c r="E89" s="382"/>
      <c r="G89" s="360"/>
      <c r="H89" s="373"/>
      <c r="I89" s="360"/>
      <c r="J89" s="360"/>
      <c r="K89" s="360"/>
      <c r="L89" s="360"/>
      <c r="M89" s="360"/>
      <c r="N89" s="360"/>
    </row>
    <row r="90" spans="1:14" s="375" customFormat="1" x14ac:dyDescent="0.25">
      <c r="A90" s="376"/>
      <c r="B90" s="360"/>
      <c r="C90" s="381"/>
      <c r="D90" s="787"/>
      <c r="E90" s="382"/>
      <c r="G90" s="360"/>
      <c r="H90" s="373"/>
      <c r="I90" s="360"/>
      <c r="J90" s="360"/>
      <c r="K90" s="360"/>
      <c r="L90" s="360"/>
      <c r="M90" s="360"/>
      <c r="N90" s="360"/>
    </row>
    <row r="91" spans="1:14" s="375" customFormat="1" x14ac:dyDescent="0.25">
      <c r="A91" s="376"/>
      <c r="B91" s="360"/>
      <c r="C91" s="381"/>
      <c r="D91" s="787"/>
      <c r="E91" s="382"/>
      <c r="G91" s="360"/>
      <c r="H91" s="373"/>
      <c r="I91" s="360"/>
      <c r="J91" s="360"/>
      <c r="K91" s="360"/>
      <c r="L91" s="360"/>
      <c r="M91" s="360"/>
      <c r="N91" s="360"/>
    </row>
    <row r="92" spans="1:14" s="375" customFormat="1" x14ac:dyDescent="0.25">
      <c r="A92" s="376"/>
      <c r="B92" s="360"/>
      <c r="C92" s="381"/>
      <c r="D92" s="787"/>
      <c r="E92" s="382"/>
      <c r="G92" s="360"/>
      <c r="H92" s="373"/>
      <c r="I92" s="360"/>
      <c r="J92" s="360"/>
      <c r="K92" s="360"/>
      <c r="L92" s="360"/>
      <c r="M92" s="360"/>
      <c r="N92" s="360"/>
    </row>
    <row r="93" spans="1:14" s="375" customFormat="1" x14ac:dyDescent="0.25">
      <c r="A93" s="376"/>
      <c r="B93" s="360"/>
      <c r="C93" s="374"/>
      <c r="D93" s="787"/>
      <c r="E93" s="382"/>
      <c r="G93" s="360"/>
      <c r="H93" s="373"/>
      <c r="I93" s="360"/>
      <c r="J93" s="360"/>
      <c r="K93" s="360"/>
      <c r="L93" s="360"/>
      <c r="M93" s="360"/>
      <c r="N93" s="360"/>
    </row>
    <row r="94" spans="1:14" s="375" customFormat="1" x14ac:dyDescent="0.25">
      <c r="A94" s="376"/>
      <c r="B94" s="360"/>
      <c r="C94" s="374"/>
      <c r="D94" s="787"/>
      <c r="E94" s="382"/>
      <c r="G94" s="360"/>
      <c r="H94" s="373"/>
      <c r="I94" s="360"/>
      <c r="J94" s="360"/>
      <c r="K94" s="360"/>
      <c r="L94" s="360"/>
      <c r="M94" s="360"/>
      <c r="N94" s="360"/>
    </row>
    <row r="95" spans="1:14" s="375" customFormat="1" x14ac:dyDescent="0.25">
      <c r="A95" s="376"/>
      <c r="B95" s="360"/>
      <c r="C95" s="381"/>
      <c r="D95" s="787"/>
      <c r="E95" s="382"/>
      <c r="G95" s="360"/>
      <c r="H95" s="373"/>
      <c r="I95" s="360"/>
      <c r="J95" s="360"/>
      <c r="K95" s="360"/>
      <c r="L95" s="360"/>
      <c r="M95" s="360"/>
      <c r="N95" s="360"/>
    </row>
    <row r="96" spans="1:14" s="375" customFormat="1" x14ac:dyDescent="0.25">
      <c r="A96" s="376"/>
      <c r="B96" s="360"/>
      <c r="C96" s="381"/>
      <c r="D96" s="787"/>
      <c r="E96" s="382"/>
      <c r="G96" s="360"/>
      <c r="H96" s="373"/>
      <c r="I96" s="360"/>
      <c r="J96" s="360"/>
      <c r="K96" s="360"/>
      <c r="L96" s="360"/>
      <c r="M96" s="360"/>
      <c r="N96" s="360"/>
    </row>
    <row r="97" spans="1:14" s="375" customFormat="1" x14ac:dyDescent="0.25">
      <c r="A97" s="376"/>
      <c r="B97" s="360"/>
      <c r="C97" s="381"/>
      <c r="D97" s="787"/>
      <c r="E97" s="382"/>
      <c r="G97" s="360"/>
      <c r="H97" s="373"/>
      <c r="I97" s="360"/>
      <c r="J97" s="360"/>
      <c r="K97" s="360"/>
      <c r="L97" s="360"/>
      <c r="M97" s="360"/>
      <c r="N97" s="360"/>
    </row>
    <row r="98" spans="1:14" s="375" customFormat="1" x14ac:dyDescent="0.25">
      <c r="A98" s="376"/>
      <c r="B98" s="360"/>
      <c r="C98" s="381"/>
      <c r="D98" s="787"/>
      <c r="E98" s="382"/>
      <c r="G98" s="360"/>
      <c r="H98" s="373"/>
      <c r="I98" s="360"/>
      <c r="J98" s="360"/>
      <c r="K98" s="360"/>
      <c r="L98" s="360"/>
      <c r="M98" s="360"/>
      <c r="N98" s="360"/>
    </row>
    <row r="99" spans="1:14" s="375" customFormat="1" x14ac:dyDescent="0.25">
      <c r="A99" s="376"/>
      <c r="B99" s="360"/>
      <c r="C99" s="381"/>
      <c r="D99" s="787"/>
      <c r="E99" s="382"/>
      <c r="G99" s="360"/>
      <c r="H99" s="373"/>
      <c r="I99" s="360"/>
      <c r="J99" s="360"/>
      <c r="K99" s="360"/>
      <c r="L99" s="360"/>
      <c r="M99" s="360"/>
      <c r="N99" s="360"/>
    </row>
    <row r="100" spans="1:14" s="375" customFormat="1" x14ac:dyDescent="0.25">
      <c r="A100" s="376"/>
      <c r="B100" s="360"/>
      <c r="C100" s="381"/>
      <c r="D100" s="787"/>
      <c r="E100" s="382"/>
      <c r="G100" s="360"/>
      <c r="H100" s="373"/>
      <c r="I100" s="360"/>
      <c r="J100" s="360"/>
      <c r="K100" s="360"/>
      <c r="L100" s="360"/>
      <c r="M100" s="360"/>
      <c r="N100" s="360"/>
    </row>
    <row r="101" spans="1:14" s="375" customFormat="1" x14ac:dyDescent="0.25">
      <c r="A101" s="360"/>
      <c r="B101" s="360"/>
      <c r="C101" s="381"/>
      <c r="D101" s="787"/>
      <c r="E101" s="382"/>
      <c r="G101" s="360"/>
      <c r="H101" s="373"/>
      <c r="I101" s="360"/>
      <c r="J101" s="360"/>
      <c r="K101" s="360"/>
      <c r="L101" s="360"/>
      <c r="M101" s="360"/>
      <c r="N101" s="360"/>
    </row>
    <row r="102" spans="1:14" s="375" customFormat="1" x14ac:dyDescent="0.25">
      <c r="A102" s="360"/>
      <c r="B102" s="360"/>
      <c r="C102" s="381"/>
      <c r="D102" s="787"/>
      <c r="E102" s="382"/>
      <c r="G102" s="360"/>
      <c r="H102" s="373"/>
      <c r="I102" s="360"/>
      <c r="J102" s="360"/>
      <c r="K102" s="360"/>
      <c r="L102" s="360"/>
      <c r="M102" s="360"/>
      <c r="N102" s="360"/>
    </row>
    <row r="103" spans="1:14" x14ac:dyDescent="0.25">
      <c r="C103" s="381"/>
      <c r="D103" s="787"/>
      <c r="E103" s="382"/>
    </row>
    <row r="104" spans="1:14" x14ac:dyDescent="0.25">
      <c r="C104" s="381"/>
      <c r="D104" s="787"/>
      <c r="E104" s="382"/>
    </row>
    <row r="105" spans="1:14" x14ac:dyDescent="0.25">
      <c r="C105" s="381"/>
      <c r="D105" s="787"/>
      <c r="E105" s="382"/>
    </row>
    <row r="106" spans="1:14" x14ac:dyDescent="0.25">
      <c r="C106" s="381"/>
      <c r="D106" s="787"/>
      <c r="E106" s="382"/>
    </row>
    <row r="107" spans="1:14" x14ac:dyDescent="0.25">
      <c r="C107" s="381"/>
      <c r="D107" s="787"/>
      <c r="E107" s="382"/>
    </row>
    <row r="108" spans="1:14" x14ac:dyDescent="0.25">
      <c r="C108" s="381"/>
      <c r="D108" s="787"/>
      <c r="E108" s="382"/>
    </row>
    <row r="109" spans="1:14" x14ac:dyDescent="0.25">
      <c r="C109" s="381"/>
      <c r="D109" s="787"/>
      <c r="E109" s="382"/>
    </row>
    <row r="110" spans="1:14" x14ac:dyDescent="0.25">
      <c r="C110" s="381"/>
      <c r="D110" s="787"/>
      <c r="E110" s="382"/>
    </row>
    <row r="111" spans="1:14" x14ac:dyDescent="0.25">
      <c r="C111" s="381"/>
      <c r="D111" s="787"/>
      <c r="E111" s="382"/>
    </row>
    <row r="112" spans="1:14" x14ac:dyDescent="0.25">
      <c r="A112" s="383"/>
      <c r="C112" s="384"/>
      <c r="D112" s="786"/>
      <c r="E112" s="380"/>
      <c r="G112" s="385"/>
      <c r="H112" s="386"/>
      <c r="I112" s="385"/>
      <c r="J112" s="385"/>
      <c r="K112" s="385"/>
      <c r="L112" s="385"/>
      <c r="M112" s="385"/>
    </row>
    <row r="113" spans="1:13" x14ac:dyDescent="0.25">
      <c r="A113" s="383"/>
      <c r="B113" s="385"/>
      <c r="C113" s="384"/>
      <c r="D113" s="786"/>
      <c r="E113" s="380"/>
      <c r="F113" s="380"/>
      <c r="G113" s="387"/>
      <c r="H113" s="569"/>
      <c r="I113" s="387"/>
      <c r="J113" s="387"/>
      <c r="K113" s="387"/>
      <c r="L113" s="387"/>
      <c r="M113" s="387"/>
    </row>
    <row r="114" spans="1:13" x14ac:dyDescent="0.25">
      <c r="A114" s="383"/>
      <c r="B114" s="385"/>
      <c r="C114" s="384"/>
      <c r="G114" s="385"/>
      <c r="H114" s="386"/>
      <c r="I114" s="385"/>
      <c r="J114" s="385"/>
      <c r="K114" s="385"/>
      <c r="L114" s="385"/>
      <c r="M114" s="385"/>
    </row>
    <row r="115" spans="1:13" x14ac:dyDescent="0.25">
      <c r="A115" s="383"/>
      <c r="B115" s="385"/>
      <c r="C115" s="384"/>
      <c r="G115" s="385"/>
      <c r="H115" s="386"/>
      <c r="I115" s="385"/>
      <c r="J115" s="385"/>
      <c r="K115" s="385"/>
      <c r="L115" s="385"/>
      <c r="M115" s="385"/>
    </row>
    <row r="116" spans="1:13" x14ac:dyDescent="0.25">
      <c r="A116" s="383"/>
      <c r="C116" s="384"/>
      <c r="G116" s="385"/>
      <c r="H116" s="386"/>
      <c r="I116" s="385"/>
      <c r="J116" s="385"/>
      <c r="K116" s="385"/>
      <c r="L116" s="385"/>
      <c r="M116" s="385"/>
    </row>
    <row r="117" spans="1:13" x14ac:dyDescent="0.25">
      <c r="A117" s="383"/>
      <c r="C117" s="384"/>
      <c r="G117" s="385"/>
      <c r="H117" s="386"/>
      <c r="I117" s="385"/>
      <c r="J117" s="385"/>
      <c r="K117" s="385"/>
      <c r="L117" s="385"/>
      <c r="M117" s="385"/>
    </row>
    <row r="118" spans="1:13" x14ac:dyDescent="0.25">
      <c r="A118" s="383"/>
      <c r="B118" s="570"/>
      <c r="C118" s="384"/>
      <c r="G118" s="385"/>
      <c r="H118" s="386"/>
      <c r="I118" s="385"/>
      <c r="J118" s="385"/>
      <c r="K118" s="385"/>
      <c r="L118" s="385"/>
      <c r="M118" s="385"/>
    </row>
    <row r="119" spans="1:13" x14ac:dyDescent="0.25">
      <c r="A119" s="383"/>
      <c r="C119" s="384"/>
      <c r="G119" s="385"/>
      <c r="H119" s="386"/>
      <c r="I119" s="385"/>
      <c r="J119" s="385"/>
      <c r="K119" s="385"/>
      <c r="L119" s="385"/>
      <c r="M119" s="385"/>
    </row>
    <row r="120" spans="1:13" x14ac:dyDescent="0.25">
      <c r="A120" s="383"/>
      <c r="B120" s="385"/>
      <c r="C120" s="384"/>
      <c r="G120" s="385"/>
      <c r="H120" s="386"/>
      <c r="I120" s="385"/>
      <c r="J120" s="385"/>
      <c r="K120" s="385"/>
      <c r="L120" s="385"/>
      <c r="M120" s="385"/>
    </row>
    <row r="121" spans="1:13" x14ac:dyDescent="0.25">
      <c r="A121" s="383"/>
      <c r="B121" s="385"/>
      <c r="C121" s="384"/>
      <c r="G121" s="385"/>
      <c r="H121" s="386"/>
      <c r="I121" s="385"/>
      <c r="J121" s="385"/>
      <c r="K121" s="385"/>
      <c r="L121" s="385"/>
      <c r="M121" s="385"/>
    </row>
    <row r="122" spans="1:13" x14ac:dyDescent="0.25">
      <c r="A122" s="383"/>
      <c r="B122" s="385"/>
      <c r="C122" s="384"/>
      <c r="G122" s="385"/>
      <c r="H122" s="386"/>
      <c r="I122" s="385"/>
      <c r="J122" s="385"/>
      <c r="K122" s="385"/>
      <c r="L122" s="385"/>
      <c r="M122" s="385"/>
    </row>
    <row r="123" spans="1:13" x14ac:dyDescent="0.25">
      <c r="A123" s="383"/>
      <c r="B123" s="385"/>
      <c r="C123" s="384"/>
      <c r="G123" s="385"/>
      <c r="H123" s="386"/>
      <c r="I123" s="385"/>
      <c r="J123" s="385"/>
      <c r="K123" s="385"/>
      <c r="L123" s="385"/>
      <c r="M123" s="385"/>
    </row>
    <row r="124" spans="1:13" x14ac:dyDescent="0.25">
      <c r="A124" s="383"/>
      <c r="B124" s="385"/>
      <c r="C124" s="384"/>
      <c r="G124" s="385"/>
      <c r="H124" s="386"/>
      <c r="I124" s="385"/>
      <c r="J124" s="385"/>
      <c r="K124" s="385"/>
      <c r="L124" s="385"/>
      <c r="M124" s="385"/>
    </row>
    <row r="125" spans="1:13" x14ac:dyDescent="0.25">
      <c r="A125" s="383"/>
      <c r="B125" s="385"/>
      <c r="C125" s="384"/>
      <c r="G125" s="385"/>
      <c r="H125" s="386"/>
      <c r="I125" s="385"/>
      <c r="J125" s="385"/>
      <c r="K125" s="385"/>
      <c r="L125" s="385"/>
      <c r="M125" s="385"/>
    </row>
    <row r="126" spans="1:13" x14ac:dyDescent="0.25">
      <c r="C126" s="384"/>
      <c r="G126" s="385"/>
      <c r="H126" s="386"/>
      <c r="I126" s="385"/>
      <c r="J126" s="385"/>
      <c r="K126" s="385"/>
      <c r="L126" s="385"/>
      <c r="M126" s="385"/>
    </row>
    <row r="127" spans="1:13" x14ac:dyDescent="0.25">
      <c r="B127" s="385"/>
      <c r="C127" s="384"/>
      <c r="G127" s="385"/>
      <c r="H127" s="386"/>
      <c r="I127" s="385"/>
      <c r="J127" s="385"/>
      <c r="K127" s="385"/>
      <c r="L127" s="385"/>
      <c r="M127" s="385"/>
    </row>
    <row r="128" spans="1:13" x14ac:dyDescent="0.25">
      <c r="B128" s="385"/>
      <c r="C128" s="384"/>
      <c r="G128" s="385"/>
      <c r="H128" s="386"/>
      <c r="I128" s="385"/>
      <c r="J128" s="385"/>
      <c r="K128" s="385"/>
      <c r="L128" s="385"/>
      <c r="M128" s="385"/>
    </row>
    <row r="129" spans="2:13" x14ac:dyDescent="0.25">
      <c r="B129" s="385"/>
      <c r="C129" s="384"/>
      <c r="G129" s="385"/>
      <c r="H129" s="386"/>
      <c r="I129" s="385"/>
      <c r="J129" s="385"/>
      <c r="K129" s="385"/>
      <c r="L129" s="385"/>
      <c r="M129" s="385"/>
    </row>
    <row r="130" spans="2:13" x14ac:dyDescent="0.25">
      <c r="B130" s="570"/>
      <c r="C130" s="384"/>
      <c r="G130" s="385"/>
      <c r="H130" s="386"/>
      <c r="I130" s="385"/>
      <c r="J130" s="385"/>
      <c r="K130" s="385"/>
      <c r="L130" s="385"/>
      <c r="M130" s="385"/>
    </row>
    <row r="131" spans="2:13" x14ac:dyDescent="0.25">
      <c r="B131" s="385"/>
      <c r="C131" s="384"/>
      <c r="G131" s="385"/>
      <c r="H131" s="386"/>
      <c r="I131" s="385"/>
      <c r="J131" s="385"/>
      <c r="K131" s="385"/>
      <c r="L131" s="385"/>
      <c r="M131" s="385"/>
    </row>
    <row r="132" spans="2:13" x14ac:dyDescent="0.25">
      <c r="B132" s="385"/>
      <c r="C132" s="384"/>
      <c r="G132" s="385"/>
      <c r="H132" s="386"/>
      <c r="I132" s="385"/>
      <c r="J132" s="385"/>
      <c r="K132" s="385"/>
      <c r="L132" s="385"/>
      <c r="M132" s="385"/>
    </row>
    <row r="133" spans="2:13" x14ac:dyDescent="0.25">
      <c r="B133" s="385"/>
      <c r="C133" s="384"/>
      <c r="G133" s="385"/>
      <c r="H133" s="386"/>
      <c r="I133" s="385"/>
      <c r="J133" s="385"/>
      <c r="K133" s="385"/>
      <c r="L133" s="385"/>
      <c r="M133" s="385"/>
    </row>
    <row r="134" spans="2:13" x14ac:dyDescent="0.25">
      <c r="B134" s="385"/>
      <c r="C134" s="384"/>
      <c r="G134" s="385"/>
      <c r="H134" s="386"/>
      <c r="I134" s="385"/>
      <c r="J134" s="385"/>
      <c r="K134" s="385"/>
      <c r="L134" s="385"/>
      <c r="M134" s="385"/>
    </row>
    <row r="135" spans="2:13" x14ac:dyDescent="0.25">
      <c r="B135" s="385"/>
      <c r="C135" s="384"/>
      <c r="G135" s="385"/>
      <c r="H135" s="386"/>
      <c r="I135" s="385"/>
      <c r="J135" s="385"/>
      <c r="K135" s="385"/>
      <c r="L135" s="385"/>
      <c r="M135" s="385"/>
    </row>
    <row r="136" spans="2:13" x14ac:dyDescent="0.25">
      <c r="B136" s="385"/>
      <c r="C136" s="384"/>
      <c r="G136" s="385"/>
      <c r="H136" s="386"/>
      <c r="I136" s="385"/>
      <c r="J136" s="385"/>
      <c r="K136" s="385"/>
      <c r="L136" s="385"/>
      <c r="M136" s="385"/>
    </row>
    <row r="137" spans="2:13" x14ac:dyDescent="0.25">
      <c r="B137" s="385"/>
      <c r="C137" s="384"/>
      <c r="G137" s="385"/>
      <c r="H137" s="386"/>
      <c r="I137" s="385"/>
      <c r="J137" s="385"/>
      <c r="K137" s="385"/>
      <c r="L137" s="385"/>
      <c r="M137" s="385"/>
    </row>
    <row r="138" spans="2:13" x14ac:dyDescent="0.25">
      <c r="B138" s="385"/>
      <c r="C138" s="384"/>
      <c r="G138" s="385"/>
      <c r="H138" s="386"/>
      <c r="I138" s="385"/>
      <c r="J138" s="385"/>
      <c r="K138" s="385"/>
      <c r="L138" s="385"/>
      <c r="M138" s="385"/>
    </row>
    <row r="139" spans="2:13" x14ac:dyDescent="0.25">
      <c r="B139" s="379"/>
      <c r="C139" s="384"/>
      <c r="G139" s="385"/>
      <c r="H139" s="386"/>
      <c r="I139" s="385"/>
      <c r="J139" s="385"/>
      <c r="K139" s="385"/>
      <c r="L139" s="385"/>
      <c r="M139" s="385"/>
    </row>
    <row r="140" spans="2:13" x14ac:dyDescent="0.25">
      <c r="C140" s="384"/>
      <c r="G140" s="385"/>
      <c r="H140" s="386"/>
      <c r="I140" s="385"/>
      <c r="J140" s="385"/>
      <c r="K140" s="385"/>
      <c r="L140" s="385"/>
      <c r="M140" s="385"/>
    </row>
    <row r="141" spans="2:13" x14ac:dyDescent="0.25">
      <c r="B141" s="379"/>
      <c r="C141" s="384"/>
      <c r="G141" s="385"/>
      <c r="H141" s="386"/>
      <c r="I141" s="385"/>
      <c r="J141" s="385"/>
      <c r="K141" s="385"/>
      <c r="L141" s="385"/>
      <c r="M141" s="385"/>
    </row>
    <row r="142" spans="2:13" x14ac:dyDescent="0.25">
      <c r="C142" s="384"/>
      <c r="G142" s="385"/>
      <c r="H142" s="386"/>
      <c r="I142" s="385"/>
      <c r="J142" s="385"/>
      <c r="K142" s="385"/>
      <c r="L142" s="385"/>
      <c r="M142" s="385"/>
    </row>
    <row r="143" spans="2:13" x14ac:dyDescent="0.25">
      <c r="B143" s="385"/>
      <c r="C143" s="384"/>
      <c r="G143" s="385"/>
      <c r="H143" s="386"/>
      <c r="I143" s="385"/>
      <c r="J143" s="385"/>
      <c r="K143" s="385"/>
      <c r="L143" s="385"/>
      <c r="M143" s="385"/>
    </row>
    <row r="144" spans="2:13" x14ac:dyDescent="0.25">
      <c r="B144" s="385"/>
      <c r="C144" s="384"/>
      <c r="G144" s="385"/>
      <c r="H144" s="386"/>
      <c r="I144" s="385"/>
      <c r="J144" s="385"/>
      <c r="K144" s="385"/>
      <c r="L144" s="385"/>
      <c r="M144" s="385"/>
    </row>
    <row r="145" spans="1:13" x14ac:dyDescent="0.25">
      <c r="B145" s="385"/>
      <c r="C145" s="384"/>
      <c r="G145" s="385"/>
      <c r="H145" s="386"/>
      <c r="I145" s="385"/>
      <c r="J145" s="385"/>
      <c r="K145" s="385"/>
      <c r="L145" s="385"/>
      <c r="M145" s="385"/>
    </row>
    <row r="146" spans="1:13" x14ac:dyDescent="0.25">
      <c r="B146" s="379"/>
      <c r="C146" s="384"/>
      <c r="G146" s="385"/>
      <c r="H146" s="386"/>
      <c r="I146" s="385"/>
      <c r="J146" s="385"/>
      <c r="K146" s="385"/>
      <c r="L146" s="385"/>
      <c r="M146" s="385"/>
    </row>
    <row r="147" spans="1:13" x14ac:dyDescent="0.25">
      <c r="C147" s="384"/>
      <c r="G147" s="385"/>
      <c r="H147" s="386"/>
      <c r="I147" s="385"/>
      <c r="J147" s="385"/>
      <c r="K147" s="385"/>
      <c r="L147" s="385"/>
      <c r="M147" s="385"/>
    </row>
    <row r="148" spans="1:13" x14ac:dyDescent="0.25">
      <c r="B148" s="385"/>
      <c r="C148" s="384"/>
      <c r="G148" s="385"/>
      <c r="H148" s="386"/>
      <c r="I148" s="385"/>
      <c r="J148" s="385"/>
      <c r="K148" s="385"/>
      <c r="L148" s="385"/>
      <c r="M148" s="385"/>
    </row>
    <row r="149" spans="1:13" x14ac:dyDescent="0.25">
      <c r="B149" s="385"/>
      <c r="C149" s="384"/>
      <c r="G149" s="385"/>
      <c r="H149" s="386"/>
      <c r="I149" s="385"/>
      <c r="J149" s="385"/>
      <c r="K149" s="385"/>
      <c r="L149" s="385"/>
      <c r="M149" s="385"/>
    </row>
    <row r="150" spans="1:13" x14ac:dyDescent="0.25">
      <c r="B150" s="379"/>
      <c r="C150" s="384"/>
      <c r="G150" s="385"/>
      <c r="H150" s="386"/>
      <c r="I150" s="385"/>
      <c r="J150" s="385"/>
      <c r="K150" s="385"/>
      <c r="L150" s="385"/>
      <c r="M150" s="385"/>
    </row>
    <row r="151" spans="1:13" x14ac:dyDescent="0.25">
      <c r="C151" s="384"/>
      <c r="G151" s="385"/>
      <c r="H151" s="386"/>
      <c r="I151" s="385"/>
      <c r="J151" s="385"/>
      <c r="K151" s="385"/>
      <c r="L151" s="385"/>
      <c r="M151" s="385"/>
    </row>
    <row r="152" spans="1:13" x14ac:dyDescent="0.25">
      <c r="B152" s="570"/>
      <c r="C152" s="390"/>
      <c r="G152" s="385"/>
      <c r="H152" s="386"/>
      <c r="I152" s="385"/>
      <c r="J152" s="385"/>
      <c r="K152" s="385"/>
      <c r="L152" s="385"/>
      <c r="M152" s="385"/>
    </row>
    <row r="153" spans="1:13" x14ac:dyDescent="0.25">
      <c r="B153" s="379"/>
      <c r="C153" s="384"/>
      <c r="G153" s="385"/>
      <c r="H153" s="386"/>
      <c r="I153" s="385"/>
      <c r="J153" s="385"/>
      <c r="K153" s="385"/>
      <c r="L153" s="385"/>
      <c r="M153" s="385"/>
    </row>
    <row r="154" spans="1:13" x14ac:dyDescent="0.25">
      <c r="B154" s="379"/>
      <c r="C154" s="384"/>
      <c r="G154" s="385"/>
      <c r="H154" s="386"/>
      <c r="I154" s="385"/>
      <c r="J154" s="385"/>
      <c r="K154" s="385"/>
      <c r="L154" s="385"/>
      <c r="M154" s="385"/>
    </row>
    <row r="155" spans="1:13" x14ac:dyDescent="0.25">
      <c r="C155" s="384"/>
      <c r="G155" s="385"/>
      <c r="H155" s="386"/>
      <c r="I155" s="385"/>
      <c r="J155" s="385"/>
      <c r="K155" s="385"/>
      <c r="L155" s="385"/>
      <c r="M155" s="385"/>
    </row>
    <row r="156" spans="1:13" x14ac:dyDescent="0.25">
      <c r="G156" s="385"/>
      <c r="H156" s="386"/>
      <c r="I156" s="385"/>
      <c r="J156" s="385"/>
      <c r="K156" s="385"/>
      <c r="L156" s="385"/>
      <c r="M156" s="385"/>
    </row>
    <row r="157" spans="1:13" x14ac:dyDescent="0.25">
      <c r="C157" s="390"/>
      <c r="G157" s="391"/>
      <c r="H157" s="571"/>
      <c r="I157" s="391"/>
      <c r="J157" s="391"/>
      <c r="K157" s="391"/>
      <c r="L157" s="391"/>
      <c r="M157" s="391"/>
    </row>
    <row r="158" spans="1:13" x14ac:dyDescent="0.25">
      <c r="C158" s="390"/>
      <c r="G158" s="391"/>
      <c r="H158" s="571"/>
      <c r="I158" s="391"/>
      <c r="J158" s="391"/>
      <c r="K158" s="391"/>
      <c r="L158" s="391"/>
      <c r="M158" s="391"/>
    </row>
    <row r="160" spans="1:13" x14ac:dyDescent="0.25">
      <c r="A160" s="381"/>
      <c r="C160" s="381"/>
      <c r="D160" s="787"/>
      <c r="E160" s="382"/>
    </row>
    <row r="161" spans="2:13" x14ac:dyDescent="0.25">
      <c r="B161" s="385"/>
      <c r="C161" s="384"/>
      <c r="D161" s="786"/>
      <c r="E161" s="380"/>
      <c r="G161" s="385"/>
      <c r="H161" s="386"/>
      <c r="I161" s="385"/>
      <c r="J161" s="385"/>
      <c r="K161" s="385"/>
      <c r="L161" s="385"/>
      <c r="M161" s="385"/>
    </row>
    <row r="162" spans="2:13" x14ac:dyDescent="0.25">
      <c r="B162" s="385"/>
      <c r="C162" s="384"/>
      <c r="D162" s="786"/>
      <c r="E162" s="380"/>
      <c r="F162" s="380"/>
      <c r="G162" s="387"/>
      <c r="H162" s="569"/>
      <c r="I162" s="387"/>
      <c r="J162" s="387"/>
      <c r="K162" s="387"/>
      <c r="L162" s="387"/>
      <c r="M162" s="387"/>
    </row>
    <row r="163" spans="2:13" x14ac:dyDescent="0.25">
      <c r="B163" s="385"/>
      <c r="C163" s="384"/>
      <c r="G163" s="385"/>
      <c r="H163" s="386"/>
      <c r="I163" s="385"/>
      <c r="J163" s="385"/>
      <c r="K163" s="385"/>
      <c r="L163" s="385"/>
      <c r="M163" s="385"/>
    </row>
    <row r="164" spans="2:13" x14ac:dyDescent="0.25">
      <c r="B164" s="385"/>
      <c r="C164" s="384"/>
      <c r="G164" s="385"/>
      <c r="H164" s="386"/>
      <c r="I164" s="385"/>
      <c r="J164" s="385"/>
      <c r="K164" s="385"/>
      <c r="L164" s="385"/>
      <c r="M164" s="385"/>
    </row>
    <row r="165" spans="2:13" x14ac:dyDescent="0.25">
      <c r="B165" s="385"/>
      <c r="C165" s="384"/>
      <c r="G165" s="385"/>
      <c r="H165" s="386"/>
      <c r="I165" s="385"/>
      <c r="J165" s="385"/>
      <c r="K165" s="385"/>
      <c r="L165" s="385"/>
      <c r="M165" s="385"/>
    </row>
    <row r="166" spans="2:13" x14ac:dyDescent="0.25">
      <c r="B166" s="385"/>
      <c r="C166" s="384"/>
      <c r="G166" s="385"/>
      <c r="H166" s="386"/>
      <c r="I166" s="385"/>
      <c r="J166" s="385"/>
      <c r="K166" s="385"/>
      <c r="L166" s="385"/>
      <c r="M166" s="385"/>
    </row>
    <row r="167" spans="2:13" x14ac:dyDescent="0.25">
      <c r="B167" s="570"/>
      <c r="C167" s="384"/>
      <c r="G167" s="385"/>
      <c r="H167" s="386"/>
      <c r="I167" s="385"/>
      <c r="J167" s="385"/>
      <c r="K167" s="385"/>
      <c r="L167" s="385"/>
      <c r="M167" s="385"/>
    </row>
    <row r="168" spans="2:13" x14ac:dyDescent="0.25">
      <c r="C168" s="384"/>
      <c r="G168" s="385"/>
      <c r="H168" s="386"/>
      <c r="I168" s="385"/>
      <c r="J168" s="385"/>
      <c r="K168" s="385"/>
      <c r="L168" s="385"/>
      <c r="M168" s="385"/>
    </row>
    <row r="169" spans="2:13" x14ac:dyDescent="0.25">
      <c r="B169" s="385"/>
      <c r="C169" s="384"/>
      <c r="G169" s="385"/>
      <c r="H169" s="386"/>
      <c r="I169" s="385"/>
      <c r="J169" s="385"/>
      <c r="K169" s="385"/>
      <c r="L169" s="385"/>
      <c r="M169" s="385"/>
    </row>
    <row r="170" spans="2:13" x14ac:dyDescent="0.25">
      <c r="B170" s="385"/>
      <c r="C170" s="384"/>
      <c r="G170" s="385"/>
      <c r="H170" s="386"/>
      <c r="I170" s="385"/>
      <c r="J170" s="385"/>
      <c r="K170" s="385"/>
      <c r="L170" s="385"/>
      <c r="M170" s="385"/>
    </row>
    <row r="171" spans="2:13" x14ac:dyDescent="0.25">
      <c r="B171" s="385"/>
      <c r="C171" s="384"/>
      <c r="G171" s="385"/>
      <c r="H171" s="386"/>
      <c r="I171" s="385"/>
      <c r="J171" s="385"/>
      <c r="K171" s="385"/>
      <c r="L171" s="385"/>
      <c r="M171" s="385"/>
    </row>
    <row r="172" spans="2:13" x14ac:dyDescent="0.25">
      <c r="B172" s="385"/>
      <c r="C172" s="384"/>
      <c r="G172" s="385"/>
      <c r="H172" s="386"/>
      <c r="I172" s="385"/>
      <c r="J172" s="385"/>
      <c r="K172" s="385"/>
      <c r="L172" s="385"/>
      <c r="M172" s="385"/>
    </row>
    <row r="173" spans="2:13" x14ac:dyDescent="0.25">
      <c r="C173" s="384"/>
      <c r="G173" s="385"/>
      <c r="H173" s="386"/>
      <c r="I173" s="385"/>
      <c r="J173" s="385"/>
      <c r="K173" s="385"/>
      <c r="L173" s="385"/>
      <c r="M173" s="385"/>
    </row>
    <row r="174" spans="2:13" x14ac:dyDescent="0.25">
      <c r="B174" s="385"/>
      <c r="C174" s="384"/>
      <c r="G174" s="385"/>
      <c r="H174" s="386"/>
      <c r="I174" s="385"/>
      <c r="J174" s="385"/>
      <c r="K174" s="385"/>
      <c r="L174" s="385"/>
      <c r="M174" s="385"/>
    </row>
    <row r="175" spans="2:13" x14ac:dyDescent="0.25">
      <c r="B175" s="385"/>
      <c r="C175" s="384"/>
      <c r="G175" s="385"/>
      <c r="H175" s="386"/>
      <c r="I175" s="385"/>
      <c r="J175" s="385"/>
      <c r="K175" s="385"/>
      <c r="L175" s="385"/>
      <c r="M175" s="385"/>
    </row>
    <row r="176" spans="2:13" x14ac:dyDescent="0.25">
      <c r="B176" s="385"/>
      <c r="C176" s="384"/>
      <c r="G176" s="385"/>
      <c r="H176" s="386"/>
      <c r="I176" s="385"/>
      <c r="J176" s="385"/>
      <c r="K176" s="385"/>
      <c r="L176" s="385"/>
      <c r="M176" s="385"/>
    </row>
    <row r="177" spans="2:13" x14ac:dyDescent="0.25">
      <c r="B177" s="570"/>
      <c r="C177" s="384"/>
      <c r="G177" s="385"/>
      <c r="H177" s="386"/>
      <c r="I177" s="385"/>
      <c r="J177" s="385"/>
      <c r="K177" s="385"/>
      <c r="L177" s="385"/>
      <c r="M177" s="385"/>
    </row>
    <row r="178" spans="2:13" x14ac:dyDescent="0.25">
      <c r="B178" s="385"/>
      <c r="C178" s="384"/>
      <c r="G178" s="385"/>
      <c r="H178" s="386"/>
      <c r="I178" s="385"/>
      <c r="J178" s="385"/>
      <c r="K178" s="385"/>
      <c r="L178" s="385"/>
      <c r="M178" s="385"/>
    </row>
    <row r="179" spans="2:13" x14ac:dyDescent="0.25">
      <c r="B179" s="385"/>
      <c r="C179" s="384"/>
      <c r="G179" s="385"/>
      <c r="H179" s="386"/>
      <c r="I179" s="385"/>
      <c r="J179" s="385"/>
      <c r="K179" s="385"/>
      <c r="L179" s="385"/>
      <c r="M179" s="385"/>
    </row>
    <row r="180" spans="2:13" x14ac:dyDescent="0.25">
      <c r="B180" s="385"/>
      <c r="C180" s="384"/>
      <c r="G180" s="385"/>
      <c r="H180" s="386"/>
      <c r="I180" s="385"/>
      <c r="J180" s="385"/>
      <c r="K180" s="385"/>
      <c r="L180" s="385"/>
      <c r="M180" s="385"/>
    </row>
    <row r="181" spans="2:13" x14ac:dyDescent="0.25">
      <c r="B181" s="385"/>
      <c r="C181" s="384"/>
      <c r="G181" s="385"/>
      <c r="H181" s="386"/>
      <c r="I181" s="385"/>
      <c r="J181" s="385"/>
      <c r="K181" s="385"/>
      <c r="L181" s="385"/>
      <c r="M181" s="385"/>
    </row>
    <row r="182" spans="2:13" x14ac:dyDescent="0.25">
      <c r="B182" s="385"/>
      <c r="C182" s="384"/>
      <c r="G182" s="385"/>
      <c r="H182" s="386"/>
      <c r="I182" s="385"/>
      <c r="J182" s="385"/>
      <c r="K182" s="385"/>
      <c r="L182" s="385"/>
      <c r="M182" s="385"/>
    </row>
    <row r="183" spans="2:13" x14ac:dyDescent="0.25">
      <c r="B183" s="385"/>
      <c r="C183" s="384"/>
      <c r="G183" s="385"/>
      <c r="H183" s="386"/>
      <c r="I183" s="385"/>
      <c r="J183" s="385"/>
      <c r="K183" s="385"/>
      <c r="L183" s="385"/>
      <c r="M183" s="385"/>
    </row>
    <row r="184" spans="2:13" x14ac:dyDescent="0.25">
      <c r="B184" s="385"/>
      <c r="C184" s="384"/>
      <c r="G184" s="385"/>
      <c r="H184" s="386"/>
      <c r="I184" s="385"/>
      <c r="J184" s="385"/>
      <c r="K184" s="385"/>
      <c r="L184" s="385"/>
      <c r="M184" s="385"/>
    </row>
    <row r="185" spans="2:13" x14ac:dyDescent="0.25">
      <c r="B185" s="385"/>
      <c r="C185" s="384"/>
      <c r="G185" s="385"/>
      <c r="H185" s="386"/>
      <c r="I185" s="385"/>
      <c r="J185" s="385"/>
      <c r="K185" s="385"/>
      <c r="L185" s="385"/>
      <c r="M185" s="385"/>
    </row>
    <row r="186" spans="2:13" x14ac:dyDescent="0.25">
      <c r="B186" s="379"/>
      <c r="C186" s="384"/>
      <c r="G186" s="385"/>
      <c r="H186" s="386"/>
      <c r="I186" s="385"/>
      <c r="J186" s="385"/>
      <c r="K186" s="385"/>
      <c r="L186" s="385"/>
      <c r="M186" s="385"/>
    </row>
    <row r="187" spans="2:13" x14ac:dyDescent="0.25">
      <c r="C187" s="384"/>
      <c r="G187" s="385"/>
      <c r="H187" s="386"/>
      <c r="I187" s="385"/>
      <c r="J187" s="385"/>
      <c r="K187" s="385"/>
      <c r="L187" s="385"/>
      <c r="M187" s="385"/>
    </row>
    <row r="188" spans="2:13" x14ac:dyDescent="0.25">
      <c r="B188" s="379"/>
      <c r="C188" s="384"/>
      <c r="G188" s="385"/>
      <c r="H188" s="386"/>
      <c r="I188" s="385"/>
      <c r="J188" s="385"/>
      <c r="K188" s="385"/>
      <c r="L188" s="385"/>
      <c r="M188" s="385"/>
    </row>
    <row r="189" spans="2:13" x14ac:dyDescent="0.25">
      <c r="C189" s="384"/>
      <c r="G189" s="385"/>
      <c r="H189" s="386"/>
      <c r="I189" s="385"/>
      <c r="J189" s="385"/>
      <c r="K189" s="385"/>
      <c r="L189" s="385"/>
      <c r="M189" s="385"/>
    </row>
    <row r="190" spans="2:13" x14ac:dyDescent="0.25">
      <c r="B190" s="385"/>
      <c r="C190" s="384"/>
      <c r="G190" s="385"/>
      <c r="H190" s="386"/>
      <c r="I190" s="385"/>
      <c r="J190" s="385"/>
      <c r="K190" s="385"/>
      <c r="L190" s="385"/>
      <c r="M190" s="385"/>
    </row>
    <row r="191" spans="2:13" x14ac:dyDescent="0.25">
      <c r="B191" s="385"/>
      <c r="C191" s="384"/>
      <c r="G191" s="385"/>
      <c r="H191" s="386"/>
      <c r="I191" s="385"/>
      <c r="J191" s="385"/>
      <c r="K191" s="385"/>
      <c r="L191" s="385"/>
      <c r="M191" s="385"/>
    </row>
    <row r="192" spans="2:13" x14ac:dyDescent="0.25">
      <c r="B192" s="385"/>
      <c r="C192" s="384"/>
      <c r="G192" s="385"/>
      <c r="H192" s="386"/>
      <c r="I192" s="385"/>
      <c r="J192" s="385"/>
      <c r="K192" s="385"/>
      <c r="L192" s="385"/>
      <c r="M192" s="385"/>
    </row>
    <row r="193" spans="1:13" x14ac:dyDescent="0.25">
      <c r="B193" s="379"/>
      <c r="C193" s="384"/>
      <c r="G193" s="385"/>
      <c r="H193" s="386"/>
      <c r="I193" s="385"/>
      <c r="J193" s="385"/>
      <c r="K193" s="385"/>
      <c r="L193" s="385"/>
      <c r="M193" s="385"/>
    </row>
    <row r="194" spans="1:13" x14ac:dyDescent="0.25">
      <c r="C194" s="384"/>
      <c r="G194" s="385"/>
      <c r="H194" s="386"/>
      <c r="I194" s="385"/>
      <c r="J194" s="385"/>
      <c r="K194" s="385"/>
      <c r="L194" s="385"/>
      <c r="M194" s="385"/>
    </row>
    <row r="195" spans="1:13" x14ac:dyDescent="0.25">
      <c r="B195" s="385"/>
      <c r="C195" s="384"/>
      <c r="G195" s="385"/>
      <c r="H195" s="386"/>
      <c r="I195" s="385"/>
      <c r="J195" s="385"/>
      <c r="K195" s="385"/>
      <c r="L195" s="385"/>
      <c r="M195" s="385"/>
    </row>
    <row r="196" spans="1:13" x14ac:dyDescent="0.25">
      <c r="B196" s="385"/>
      <c r="C196" s="384"/>
      <c r="G196" s="385"/>
      <c r="H196" s="386"/>
      <c r="I196" s="385"/>
      <c r="J196" s="385"/>
      <c r="K196" s="385"/>
      <c r="L196" s="385"/>
      <c r="M196" s="385"/>
    </row>
    <row r="197" spans="1:13" x14ac:dyDescent="0.25">
      <c r="B197" s="379"/>
      <c r="C197" s="384"/>
      <c r="G197" s="385"/>
      <c r="H197" s="386"/>
      <c r="I197" s="385"/>
      <c r="J197" s="385"/>
      <c r="K197" s="385"/>
      <c r="L197" s="385"/>
      <c r="M197" s="385"/>
    </row>
    <row r="198" spans="1:13" x14ac:dyDescent="0.25">
      <c r="C198" s="384"/>
      <c r="G198" s="385"/>
      <c r="H198" s="386"/>
      <c r="I198" s="385"/>
      <c r="J198" s="385"/>
      <c r="K198" s="385"/>
      <c r="L198" s="385"/>
      <c r="M198" s="385"/>
    </row>
    <row r="199" spans="1:13" x14ac:dyDescent="0.25">
      <c r="B199" s="570"/>
      <c r="C199" s="390"/>
      <c r="G199" s="385"/>
      <c r="H199" s="386"/>
      <c r="I199" s="385"/>
      <c r="J199" s="385"/>
      <c r="K199" s="385"/>
      <c r="L199" s="385"/>
      <c r="M199" s="385"/>
    </row>
    <row r="200" spans="1:13" x14ac:dyDescent="0.25">
      <c r="B200" s="379"/>
      <c r="C200" s="384"/>
      <c r="G200" s="385"/>
      <c r="H200" s="386"/>
      <c r="I200" s="385"/>
      <c r="J200" s="385"/>
      <c r="K200" s="385"/>
      <c r="L200" s="385"/>
      <c r="M200" s="385"/>
    </row>
    <row r="201" spans="1:13" x14ac:dyDescent="0.25">
      <c r="B201" s="379"/>
      <c r="C201" s="384"/>
      <c r="G201" s="385"/>
      <c r="H201" s="386"/>
      <c r="I201" s="385"/>
      <c r="J201" s="385"/>
      <c r="K201" s="385"/>
      <c r="L201" s="385"/>
      <c r="M201" s="385"/>
    </row>
    <row r="202" spans="1:13" x14ac:dyDescent="0.25">
      <c r="C202" s="390"/>
      <c r="G202" s="385"/>
      <c r="H202" s="386"/>
      <c r="I202" s="385"/>
      <c r="J202" s="385"/>
      <c r="K202" s="385"/>
      <c r="L202" s="385"/>
      <c r="M202" s="385"/>
    </row>
    <row r="203" spans="1:13" x14ac:dyDescent="0.25">
      <c r="G203" s="385"/>
      <c r="H203" s="386"/>
      <c r="I203" s="385"/>
      <c r="J203" s="385"/>
      <c r="K203" s="385"/>
      <c r="L203" s="385"/>
      <c r="M203" s="385"/>
    </row>
    <row r="204" spans="1:13" x14ac:dyDescent="0.25">
      <c r="K204" s="391"/>
      <c r="L204" s="391"/>
      <c r="M204" s="391"/>
    </row>
    <row r="206" spans="1:13" x14ac:dyDescent="0.25">
      <c r="A206" s="381"/>
      <c r="C206" s="381"/>
      <c r="D206" s="787"/>
      <c r="E206" s="382"/>
    </row>
    <row r="207" spans="1:13" x14ac:dyDescent="0.25">
      <c r="B207" s="385"/>
      <c r="C207" s="384"/>
      <c r="D207" s="786"/>
      <c r="E207" s="380"/>
      <c r="G207" s="385"/>
      <c r="H207" s="386"/>
      <c r="I207" s="385"/>
      <c r="J207" s="385"/>
      <c r="K207" s="385"/>
      <c r="L207" s="385"/>
      <c r="M207" s="385"/>
    </row>
    <row r="208" spans="1:13" x14ac:dyDescent="0.25">
      <c r="B208" s="385"/>
      <c r="C208" s="384"/>
      <c r="D208" s="786"/>
      <c r="E208" s="380"/>
      <c r="F208" s="380"/>
      <c r="G208" s="387"/>
      <c r="H208" s="569"/>
      <c r="I208" s="387"/>
      <c r="J208" s="387"/>
      <c r="K208" s="387"/>
      <c r="L208" s="387"/>
      <c r="M208" s="387"/>
    </row>
    <row r="209" spans="2:13" x14ac:dyDescent="0.25">
      <c r="B209" s="385"/>
      <c r="C209" s="384"/>
      <c r="G209" s="385"/>
      <c r="H209" s="386"/>
      <c r="I209" s="385"/>
      <c r="J209" s="385"/>
      <c r="K209" s="385"/>
      <c r="L209" s="385"/>
      <c r="M209" s="385"/>
    </row>
    <row r="210" spans="2:13" x14ac:dyDescent="0.25">
      <c r="B210" s="385"/>
      <c r="C210" s="384"/>
      <c r="G210" s="385"/>
      <c r="H210" s="386"/>
      <c r="I210" s="385"/>
      <c r="J210" s="385"/>
      <c r="K210" s="385"/>
      <c r="L210" s="385"/>
      <c r="M210" s="385"/>
    </row>
    <row r="211" spans="2:13" x14ac:dyDescent="0.25">
      <c r="B211" s="385"/>
      <c r="C211" s="384"/>
      <c r="G211" s="385"/>
      <c r="H211" s="386"/>
      <c r="I211" s="385"/>
      <c r="J211" s="385"/>
      <c r="K211" s="385"/>
      <c r="L211" s="385"/>
      <c r="M211" s="385"/>
    </row>
    <row r="212" spans="2:13" x14ac:dyDescent="0.25">
      <c r="B212" s="385"/>
      <c r="C212" s="384"/>
      <c r="G212" s="385"/>
      <c r="H212" s="386"/>
      <c r="I212" s="385"/>
      <c r="J212" s="385"/>
      <c r="K212" s="385"/>
      <c r="L212" s="385"/>
      <c r="M212" s="385"/>
    </row>
    <row r="213" spans="2:13" x14ac:dyDescent="0.25">
      <c r="B213" s="570"/>
      <c r="C213" s="384"/>
      <c r="G213" s="385"/>
      <c r="H213" s="386"/>
      <c r="I213" s="385"/>
      <c r="J213" s="385"/>
      <c r="K213" s="385"/>
      <c r="L213" s="385"/>
      <c r="M213" s="385"/>
    </row>
    <row r="214" spans="2:13" x14ac:dyDescent="0.25">
      <c r="C214" s="384"/>
      <c r="G214" s="385"/>
      <c r="H214" s="386"/>
      <c r="I214" s="385"/>
      <c r="J214" s="385"/>
      <c r="K214" s="385"/>
      <c r="L214" s="385"/>
      <c r="M214" s="385"/>
    </row>
    <row r="215" spans="2:13" x14ac:dyDescent="0.25">
      <c r="B215" s="385"/>
      <c r="C215" s="384"/>
      <c r="G215" s="385"/>
      <c r="H215" s="386"/>
      <c r="I215" s="385"/>
      <c r="J215" s="385"/>
      <c r="K215" s="385"/>
      <c r="L215" s="385"/>
      <c r="M215" s="385"/>
    </row>
    <row r="216" spans="2:13" x14ac:dyDescent="0.25">
      <c r="B216" s="385"/>
      <c r="C216" s="384"/>
      <c r="G216" s="385"/>
      <c r="H216" s="386"/>
      <c r="I216" s="385"/>
      <c r="J216" s="385"/>
      <c r="K216" s="385"/>
      <c r="L216" s="385"/>
      <c r="M216" s="385"/>
    </row>
    <row r="217" spans="2:13" x14ac:dyDescent="0.25">
      <c r="B217" s="385"/>
      <c r="C217" s="384"/>
      <c r="G217" s="385"/>
      <c r="H217" s="386"/>
      <c r="I217" s="385"/>
      <c r="J217" s="385"/>
      <c r="K217" s="385"/>
      <c r="L217" s="385"/>
      <c r="M217" s="385"/>
    </row>
    <row r="218" spans="2:13" x14ac:dyDescent="0.25">
      <c r="B218" s="385"/>
      <c r="C218" s="384"/>
      <c r="G218" s="385"/>
      <c r="H218" s="386"/>
      <c r="I218" s="385"/>
      <c r="J218" s="385"/>
      <c r="K218" s="385"/>
      <c r="L218" s="385"/>
      <c r="M218" s="385"/>
    </row>
    <row r="219" spans="2:13" x14ac:dyDescent="0.25">
      <c r="C219" s="384"/>
      <c r="G219" s="385"/>
      <c r="H219" s="386"/>
      <c r="I219" s="385"/>
      <c r="J219" s="385"/>
      <c r="K219" s="385"/>
      <c r="L219" s="385"/>
      <c r="M219" s="385"/>
    </row>
    <row r="220" spans="2:13" x14ac:dyDescent="0.25">
      <c r="B220" s="385"/>
      <c r="C220" s="384"/>
      <c r="G220" s="385"/>
      <c r="H220" s="386"/>
      <c r="I220" s="385"/>
      <c r="J220" s="385"/>
      <c r="K220" s="385"/>
      <c r="L220" s="385"/>
      <c r="M220" s="385"/>
    </row>
    <row r="221" spans="2:13" x14ac:dyDescent="0.25">
      <c r="B221" s="385"/>
      <c r="C221" s="384"/>
      <c r="G221" s="385"/>
      <c r="H221" s="386"/>
      <c r="I221" s="385"/>
      <c r="J221" s="385"/>
      <c r="K221" s="385"/>
      <c r="L221" s="385"/>
      <c r="M221" s="385"/>
    </row>
    <row r="222" spans="2:13" x14ac:dyDescent="0.25">
      <c r="B222" s="385"/>
      <c r="C222" s="384"/>
      <c r="G222" s="385"/>
      <c r="H222" s="386"/>
      <c r="I222" s="385"/>
      <c r="J222" s="385"/>
      <c r="K222" s="385"/>
      <c r="L222" s="385"/>
      <c r="M222" s="385"/>
    </row>
    <row r="223" spans="2:13" x14ac:dyDescent="0.25">
      <c r="B223" s="570"/>
      <c r="C223" s="384"/>
      <c r="G223" s="385"/>
      <c r="H223" s="386"/>
      <c r="I223" s="385"/>
      <c r="J223" s="385"/>
      <c r="K223" s="385"/>
      <c r="L223" s="385"/>
      <c r="M223" s="385"/>
    </row>
    <row r="224" spans="2:13" x14ac:dyDescent="0.25">
      <c r="B224" s="385"/>
      <c r="C224" s="384"/>
      <c r="G224" s="385"/>
      <c r="H224" s="386"/>
      <c r="I224" s="385"/>
      <c r="J224" s="385"/>
      <c r="K224" s="385"/>
      <c r="L224" s="385"/>
      <c r="M224" s="385"/>
    </row>
    <row r="225" spans="2:13" x14ac:dyDescent="0.25">
      <c r="B225" s="385"/>
      <c r="C225" s="384"/>
      <c r="G225" s="385"/>
      <c r="H225" s="386"/>
      <c r="I225" s="385"/>
      <c r="J225" s="385"/>
      <c r="K225" s="385"/>
      <c r="L225" s="385"/>
      <c r="M225" s="385"/>
    </row>
    <row r="226" spans="2:13" x14ac:dyDescent="0.25">
      <c r="B226" s="385"/>
      <c r="C226" s="384"/>
      <c r="G226" s="385"/>
      <c r="H226" s="386"/>
      <c r="I226" s="385"/>
      <c r="J226" s="385"/>
      <c r="K226" s="385"/>
      <c r="L226" s="385"/>
      <c r="M226" s="385"/>
    </row>
    <row r="227" spans="2:13" x14ac:dyDescent="0.25">
      <c r="B227" s="385"/>
      <c r="C227" s="384"/>
      <c r="G227" s="385"/>
      <c r="H227" s="386"/>
      <c r="I227" s="385"/>
      <c r="J227" s="385"/>
      <c r="K227" s="385"/>
      <c r="L227" s="385"/>
      <c r="M227" s="385"/>
    </row>
    <row r="228" spans="2:13" x14ac:dyDescent="0.25">
      <c r="B228" s="385"/>
      <c r="C228" s="384"/>
      <c r="G228" s="385"/>
      <c r="H228" s="386"/>
      <c r="I228" s="385"/>
      <c r="J228" s="385"/>
      <c r="K228" s="385"/>
      <c r="L228" s="385"/>
      <c r="M228" s="385"/>
    </row>
    <row r="229" spans="2:13" x14ac:dyDescent="0.25">
      <c r="B229" s="385"/>
      <c r="C229" s="384"/>
      <c r="G229" s="385"/>
      <c r="H229" s="386"/>
      <c r="I229" s="385"/>
      <c r="J229" s="385"/>
      <c r="K229" s="385"/>
      <c r="L229" s="385"/>
      <c r="M229" s="385"/>
    </row>
    <row r="230" spans="2:13" x14ac:dyDescent="0.25">
      <c r="B230" s="385"/>
      <c r="C230" s="384"/>
      <c r="G230" s="385"/>
      <c r="H230" s="386"/>
      <c r="I230" s="385"/>
      <c r="J230" s="385"/>
      <c r="K230" s="385"/>
      <c r="L230" s="385"/>
      <c r="M230" s="385"/>
    </row>
    <row r="231" spans="2:13" x14ac:dyDescent="0.25">
      <c r="B231" s="385"/>
      <c r="C231" s="384"/>
      <c r="G231" s="385"/>
      <c r="H231" s="386"/>
      <c r="I231" s="385"/>
      <c r="J231" s="385"/>
      <c r="K231" s="385"/>
      <c r="L231" s="385"/>
      <c r="M231" s="385"/>
    </row>
    <row r="232" spans="2:13" x14ac:dyDescent="0.25">
      <c r="B232" s="379"/>
      <c r="C232" s="384"/>
      <c r="G232" s="385"/>
      <c r="H232" s="386"/>
      <c r="I232" s="385"/>
      <c r="J232" s="385"/>
      <c r="K232" s="385"/>
      <c r="L232" s="385"/>
      <c r="M232" s="385"/>
    </row>
    <row r="233" spans="2:13" x14ac:dyDescent="0.25">
      <c r="C233" s="384"/>
      <c r="G233" s="385"/>
      <c r="H233" s="386"/>
      <c r="I233" s="385"/>
      <c r="J233" s="385"/>
      <c r="K233" s="385"/>
      <c r="L233" s="385"/>
      <c r="M233" s="385"/>
    </row>
    <row r="234" spans="2:13" x14ac:dyDescent="0.25">
      <c r="B234" s="379"/>
      <c r="C234" s="384"/>
      <c r="G234" s="385"/>
      <c r="H234" s="386"/>
      <c r="I234" s="385"/>
      <c r="J234" s="385"/>
      <c r="K234" s="385"/>
      <c r="L234" s="385"/>
      <c r="M234" s="385"/>
    </row>
    <row r="235" spans="2:13" x14ac:dyDescent="0.25">
      <c r="C235" s="384"/>
      <c r="G235" s="385"/>
      <c r="H235" s="386"/>
      <c r="I235" s="385"/>
      <c r="J235" s="385"/>
      <c r="K235" s="385"/>
      <c r="L235" s="385"/>
      <c r="M235" s="385"/>
    </row>
    <row r="236" spans="2:13" x14ac:dyDescent="0.25">
      <c r="B236" s="385"/>
      <c r="C236" s="384"/>
      <c r="G236" s="385"/>
      <c r="H236" s="386"/>
      <c r="I236" s="385"/>
      <c r="J236" s="385"/>
      <c r="K236" s="385"/>
      <c r="L236" s="385"/>
      <c r="M236" s="385"/>
    </row>
    <row r="237" spans="2:13" x14ac:dyDescent="0.25">
      <c r="B237" s="385"/>
      <c r="C237" s="384"/>
      <c r="G237" s="385"/>
      <c r="H237" s="386"/>
      <c r="I237" s="385"/>
      <c r="J237" s="385"/>
      <c r="K237" s="385"/>
      <c r="L237" s="385"/>
      <c r="M237" s="385"/>
    </row>
    <row r="238" spans="2:13" x14ac:dyDescent="0.25">
      <c r="B238" s="385"/>
      <c r="C238" s="384"/>
      <c r="G238" s="385"/>
      <c r="H238" s="386"/>
      <c r="I238" s="385"/>
      <c r="J238" s="385"/>
      <c r="K238" s="385"/>
      <c r="L238" s="385"/>
      <c r="M238" s="385"/>
    </row>
    <row r="239" spans="2:13" x14ac:dyDescent="0.25">
      <c r="B239" s="379"/>
      <c r="C239" s="384"/>
      <c r="G239" s="385"/>
      <c r="H239" s="386"/>
      <c r="I239" s="385"/>
      <c r="J239" s="385"/>
      <c r="K239" s="385"/>
      <c r="L239" s="385"/>
      <c r="M239" s="385"/>
    </row>
    <row r="240" spans="2:13" x14ac:dyDescent="0.25">
      <c r="C240" s="384"/>
      <c r="G240" s="385"/>
      <c r="H240" s="386"/>
      <c r="I240" s="385"/>
      <c r="J240" s="385"/>
      <c r="K240" s="385"/>
      <c r="L240" s="385"/>
      <c r="M240" s="385"/>
    </row>
    <row r="241" spans="1:13" x14ac:dyDescent="0.25">
      <c r="B241" s="385"/>
      <c r="C241" s="384"/>
      <c r="G241" s="385"/>
      <c r="H241" s="386"/>
      <c r="I241" s="385"/>
      <c r="J241" s="385"/>
      <c r="K241" s="385"/>
      <c r="L241" s="385"/>
      <c r="M241" s="385"/>
    </row>
    <row r="242" spans="1:13" x14ac:dyDescent="0.25">
      <c r="B242" s="385"/>
      <c r="C242" s="384"/>
      <c r="G242" s="385"/>
      <c r="H242" s="386"/>
      <c r="I242" s="385"/>
      <c r="J242" s="385"/>
      <c r="K242" s="385"/>
      <c r="L242" s="385"/>
      <c r="M242" s="385"/>
    </row>
    <row r="243" spans="1:13" x14ac:dyDescent="0.25">
      <c r="B243" s="379"/>
      <c r="C243" s="384"/>
      <c r="G243" s="385"/>
      <c r="H243" s="386"/>
      <c r="I243" s="385"/>
      <c r="J243" s="385"/>
      <c r="K243" s="385"/>
      <c r="L243" s="385"/>
      <c r="M243" s="385"/>
    </row>
    <row r="244" spans="1:13" x14ac:dyDescent="0.25">
      <c r="C244" s="384"/>
      <c r="G244" s="385"/>
      <c r="H244" s="386"/>
      <c r="I244" s="385"/>
      <c r="J244" s="385"/>
      <c r="K244" s="385"/>
      <c r="L244" s="385"/>
      <c r="M244" s="385"/>
    </row>
    <row r="245" spans="1:13" x14ac:dyDescent="0.25">
      <c r="B245" s="570"/>
      <c r="C245" s="390"/>
      <c r="G245" s="385"/>
      <c r="H245" s="386"/>
      <c r="I245" s="385"/>
      <c r="J245" s="385"/>
      <c r="K245" s="385"/>
      <c r="L245" s="385"/>
      <c r="M245" s="385"/>
    </row>
    <row r="246" spans="1:13" x14ac:dyDescent="0.25">
      <c r="B246" s="379"/>
      <c r="C246" s="384"/>
      <c r="G246" s="385"/>
      <c r="H246" s="386"/>
      <c r="I246" s="385"/>
      <c r="J246" s="385"/>
      <c r="K246" s="385"/>
      <c r="L246" s="385"/>
      <c r="M246" s="385"/>
    </row>
    <row r="247" spans="1:13" x14ac:dyDescent="0.25">
      <c r="B247" s="379"/>
      <c r="C247" s="384"/>
      <c r="G247" s="385"/>
      <c r="H247" s="386"/>
      <c r="I247" s="385"/>
      <c r="J247" s="385"/>
      <c r="K247" s="385"/>
      <c r="L247" s="385"/>
      <c r="M247" s="385"/>
    </row>
    <row r="248" spans="1:13" x14ac:dyDescent="0.25">
      <c r="C248" s="390"/>
      <c r="G248" s="385"/>
      <c r="H248" s="386"/>
      <c r="I248" s="385"/>
      <c r="J248" s="385"/>
      <c r="K248" s="385"/>
      <c r="L248" s="385"/>
      <c r="M248" s="385"/>
    </row>
    <row r="249" spans="1:13" x14ac:dyDescent="0.25">
      <c r="G249" s="385"/>
      <c r="H249" s="386"/>
      <c r="I249" s="385"/>
      <c r="J249" s="385"/>
      <c r="K249" s="385"/>
      <c r="L249" s="385"/>
      <c r="M249" s="385"/>
    </row>
    <row r="250" spans="1:13" x14ac:dyDescent="0.25">
      <c r="K250" s="391"/>
      <c r="L250" s="391"/>
      <c r="M250" s="391"/>
    </row>
    <row r="253" spans="1:13" x14ac:dyDescent="0.25">
      <c r="A253" s="381"/>
      <c r="C253" s="381"/>
      <c r="D253" s="787"/>
      <c r="E253" s="382"/>
    </row>
    <row r="254" spans="1:13" x14ac:dyDescent="0.25">
      <c r="B254" s="385"/>
      <c r="C254" s="384"/>
      <c r="D254" s="786"/>
      <c r="E254" s="380"/>
      <c r="G254" s="385"/>
      <c r="H254" s="386"/>
      <c r="I254" s="385"/>
      <c r="J254" s="385"/>
      <c r="K254" s="385"/>
      <c r="L254" s="385"/>
      <c r="M254" s="385"/>
    </row>
    <row r="255" spans="1:13" x14ac:dyDescent="0.25">
      <c r="B255" s="385"/>
      <c r="C255" s="384"/>
      <c r="D255" s="786"/>
      <c r="E255" s="380"/>
      <c r="F255" s="380"/>
      <c r="G255" s="387"/>
      <c r="H255" s="569"/>
      <c r="I255" s="387"/>
      <c r="J255" s="387"/>
      <c r="K255" s="387"/>
      <c r="L255" s="387"/>
      <c r="M255" s="387"/>
    </row>
    <row r="256" spans="1:13" x14ac:dyDescent="0.25">
      <c r="B256" s="385"/>
      <c r="C256" s="384"/>
      <c r="G256" s="385"/>
      <c r="H256" s="386"/>
      <c r="I256" s="385"/>
      <c r="J256" s="385"/>
      <c r="K256" s="385"/>
      <c r="L256" s="385"/>
      <c r="M256" s="385"/>
    </row>
    <row r="257" spans="2:13" x14ac:dyDescent="0.25">
      <c r="B257" s="385"/>
      <c r="C257" s="384"/>
      <c r="G257" s="385"/>
      <c r="H257" s="386"/>
      <c r="I257" s="385"/>
      <c r="J257" s="385"/>
      <c r="K257" s="385"/>
      <c r="L257" s="385"/>
      <c r="M257" s="385"/>
    </row>
    <row r="258" spans="2:13" x14ac:dyDescent="0.25">
      <c r="B258" s="385"/>
      <c r="C258" s="384"/>
      <c r="G258" s="385"/>
      <c r="H258" s="386"/>
      <c r="I258" s="385"/>
      <c r="J258" s="385"/>
      <c r="K258" s="385"/>
      <c r="L258" s="385"/>
      <c r="M258" s="385"/>
    </row>
    <row r="259" spans="2:13" x14ac:dyDescent="0.25">
      <c r="B259" s="385"/>
      <c r="C259" s="384"/>
      <c r="G259" s="385"/>
      <c r="H259" s="386"/>
      <c r="I259" s="385"/>
      <c r="J259" s="385"/>
      <c r="K259" s="385"/>
      <c r="L259" s="385"/>
      <c r="M259" s="385"/>
    </row>
    <row r="260" spans="2:13" x14ac:dyDescent="0.25">
      <c r="B260" s="570"/>
      <c r="C260" s="384"/>
      <c r="G260" s="385"/>
      <c r="H260" s="386"/>
      <c r="I260" s="385"/>
      <c r="J260" s="385"/>
      <c r="K260" s="385"/>
      <c r="L260" s="385"/>
      <c r="M260" s="385"/>
    </row>
    <row r="261" spans="2:13" x14ac:dyDescent="0.25">
      <c r="C261" s="384"/>
      <c r="G261" s="385"/>
      <c r="H261" s="386"/>
      <c r="I261" s="385"/>
      <c r="J261" s="385"/>
      <c r="K261" s="385"/>
      <c r="L261" s="385"/>
      <c r="M261" s="385"/>
    </row>
    <row r="262" spans="2:13" x14ac:dyDescent="0.25">
      <c r="B262" s="385"/>
      <c r="C262" s="384"/>
      <c r="G262" s="385"/>
      <c r="H262" s="386"/>
      <c r="I262" s="385"/>
      <c r="J262" s="385"/>
      <c r="K262" s="385"/>
      <c r="L262" s="385"/>
      <c r="M262" s="385"/>
    </row>
    <row r="263" spans="2:13" x14ac:dyDescent="0.25">
      <c r="B263" s="385"/>
      <c r="C263" s="384"/>
      <c r="G263" s="385"/>
      <c r="H263" s="386"/>
      <c r="I263" s="385"/>
      <c r="J263" s="385"/>
      <c r="K263" s="385"/>
      <c r="L263" s="385"/>
      <c r="M263" s="385"/>
    </row>
    <row r="264" spans="2:13" x14ac:dyDescent="0.25">
      <c r="B264" s="385"/>
      <c r="C264" s="384"/>
      <c r="G264" s="385"/>
      <c r="H264" s="386"/>
      <c r="I264" s="385"/>
      <c r="J264" s="385"/>
      <c r="K264" s="385"/>
      <c r="L264" s="385"/>
      <c r="M264" s="385"/>
    </row>
    <row r="265" spans="2:13" x14ac:dyDescent="0.25">
      <c r="B265" s="385"/>
      <c r="C265" s="384"/>
      <c r="G265" s="385"/>
      <c r="H265" s="386"/>
      <c r="I265" s="385"/>
      <c r="J265" s="385"/>
      <c r="K265" s="385"/>
      <c r="L265" s="385"/>
      <c r="M265" s="385"/>
    </row>
    <row r="266" spans="2:13" x14ac:dyDescent="0.25">
      <c r="C266" s="384"/>
      <c r="G266" s="385"/>
      <c r="H266" s="386"/>
      <c r="I266" s="385"/>
      <c r="J266" s="385"/>
      <c r="K266" s="385"/>
      <c r="L266" s="385"/>
      <c r="M266" s="385"/>
    </row>
    <row r="267" spans="2:13" x14ac:dyDescent="0.25">
      <c r="B267" s="385"/>
      <c r="C267" s="384"/>
      <c r="G267" s="385"/>
      <c r="H267" s="386"/>
      <c r="I267" s="385"/>
      <c r="J267" s="385"/>
      <c r="K267" s="385"/>
      <c r="L267" s="385"/>
      <c r="M267" s="385"/>
    </row>
    <row r="268" spans="2:13" x14ac:dyDescent="0.25">
      <c r="B268" s="385"/>
      <c r="C268" s="384"/>
      <c r="G268" s="385"/>
      <c r="H268" s="386"/>
      <c r="I268" s="385"/>
      <c r="J268" s="385"/>
      <c r="K268" s="385"/>
      <c r="L268" s="385"/>
      <c r="M268" s="385"/>
    </row>
    <row r="269" spans="2:13" x14ac:dyDescent="0.25">
      <c r="B269" s="385"/>
      <c r="C269" s="384"/>
      <c r="G269" s="385"/>
      <c r="H269" s="386"/>
      <c r="I269" s="385"/>
      <c r="J269" s="385"/>
      <c r="K269" s="385"/>
      <c r="L269" s="385"/>
      <c r="M269" s="385"/>
    </row>
    <row r="270" spans="2:13" x14ac:dyDescent="0.25">
      <c r="B270" s="570"/>
      <c r="C270" s="384"/>
      <c r="G270" s="385"/>
      <c r="H270" s="386"/>
      <c r="I270" s="385"/>
      <c r="J270" s="385"/>
      <c r="K270" s="385"/>
      <c r="L270" s="385"/>
      <c r="M270" s="385"/>
    </row>
    <row r="271" spans="2:13" x14ac:dyDescent="0.25">
      <c r="B271" s="385"/>
      <c r="C271" s="384"/>
      <c r="G271" s="385"/>
      <c r="H271" s="386"/>
      <c r="I271" s="385"/>
      <c r="J271" s="385"/>
      <c r="K271" s="385"/>
      <c r="L271" s="385"/>
      <c r="M271" s="385"/>
    </row>
    <row r="272" spans="2:13" x14ac:dyDescent="0.25">
      <c r="B272" s="385"/>
      <c r="C272" s="384"/>
      <c r="G272" s="385"/>
      <c r="H272" s="386"/>
      <c r="I272" s="385"/>
      <c r="J272" s="385"/>
      <c r="K272" s="385"/>
      <c r="L272" s="385"/>
      <c r="M272" s="385"/>
    </row>
    <row r="273" spans="2:13" x14ac:dyDescent="0.25">
      <c r="B273" s="385"/>
      <c r="C273" s="384"/>
      <c r="G273" s="385"/>
      <c r="H273" s="386"/>
      <c r="I273" s="385"/>
      <c r="J273" s="385"/>
      <c r="K273" s="385"/>
      <c r="L273" s="385"/>
      <c r="M273" s="385"/>
    </row>
    <row r="274" spans="2:13" x14ac:dyDescent="0.25">
      <c r="B274" s="385"/>
      <c r="C274" s="384"/>
      <c r="G274" s="385"/>
      <c r="H274" s="386"/>
      <c r="I274" s="385"/>
      <c r="J274" s="385"/>
      <c r="K274" s="385"/>
      <c r="L274" s="385"/>
      <c r="M274" s="385"/>
    </row>
    <row r="275" spans="2:13" x14ac:dyDescent="0.25">
      <c r="B275" s="385"/>
      <c r="C275" s="384"/>
      <c r="G275" s="385"/>
      <c r="H275" s="386"/>
      <c r="I275" s="385"/>
      <c r="J275" s="385"/>
      <c r="K275" s="385"/>
      <c r="L275" s="385"/>
      <c r="M275" s="385"/>
    </row>
    <row r="276" spans="2:13" x14ac:dyDescent="0.25">
      <c r="B276" s="385"/>
      <c r="C276" s="384"/>
      <c r="G276" s="385"/>
      <c r="H276" s="386"/>
      <c r="I276" s="385"/>
      <c r="J276" s="385"/>
      <c r="K276" s="385"/>
      <c r="L276" s="385"/>
      <c r="M276" s="385"/>
    </row>
    <row r="277" spans="2:13" x14ac:dyDescent="0.25">
      <c r="B277" s="385"/>
      <c r="C277" s="384"/>
      <c r="G277" s="385"/>
      <c r="H277" s="386"/>
      <c r="I277" s="385"/>
      <c r="J277" s="385"/>
      <c r="K277" s="385"/>
      <c r="L277" s="385"/>
      <c r="M277" s="385"/>
    </row>
    <row r="278" spans="2:13" x14ac:dyDescent="0.25">
      <c r="B278" s="385"/>
      <c r="C278" s="384"/>
      <c r="G278" s="385"/>
      <c r="H278" s="386"/>
      <c r="I278" s="385"/>
      <c r="J278" s="385"/>
      <c r="K278" s="385"/>
      <c r="L278" s="385"/>
      <c r="M278" s="385"/>
    </row>
    <row r="279" spans="2:13" x14ac:dyDescent="0.25">
      <c r="B279" s="379"/>
      <c r="C279" s="384"/>
      <c r="G279" s="385"/>
      <c r="H279" s="386"/>
      <c r="I279" s="385"/>
      <c r="J279" s="385"/>
      <c r="K279" s="385"/>
      <c r="L279" s="385"/>
      <c r="M279" s="385"/>
    </row>
    <row r="280" spans="2:13" x14ac:dyDescent="0.25">
      <c r="C280" s="384"/>
      <c r="G280" s="385"/>
      <c r="H280" s="386"/>
      <c r="I280" s="385"/>
      <c r="J280" s="385"/>
      <c r="K280" s="385"/>
      <c r="L280" s="385"/>
      <c r="M280" s="385"/>
    </row>
    <row r="281" spans="2:13" x14ac:dyDescent="0.25">
      <c r="B281" s="379"/>
      <c r="C281" s="384"/>
      <c r="G281" s="385"/>
      <c r="H281" s="386"/>
      <c r="I281" s="385"/>
      <c r="J281" s="385"/>
      <c r="K281" s="385"/>
      <c r="L281" s="385"/>
      <c r="M281" s="385"/>
    </row>
    <row r="282" spans="2:13" x14ac:dyDescent="0.25">
      <c r="C282" s="384"/>
      <c r="G282" s="385"/>
      <c r="H282" s="386"/>
      <c r="I282" s="385"/>
      <c r="J282" s="385"/>
      <c r="K282" s="385"/>
      <c r="L282" s="385"/>
      <c r="M282" s="385"/>
    </row>
    <row r="283" spans="2:13" x14ac:dyDescent="0.25">
      <c r="B283" s="385"/>
      <c r="C283" s="384"/>
      <c r="G283" s="385"/>
      <c r="H283" s="386"/>
      <c r="I283" s="385"/>
      <c r="J283" s="385"/>
      <c r="K283" s="385"/>
      <c r="L283" s="385"/>
      <c r="M283" s="385"/>
    </row>
    <row r="284" spans="2:13" x14ac:dyDescent="0.25">
      <c r="B284" s="385"/>
      <c r="C284" s="384"/>
      <c r="G284" s="385"/>
      <c r="H284" s="386"/>
      <c r="I284" s="385"/>
      <c r="J284" s="385"/>
      <c r="K284" s="385"/>
      <c r="L284" s="385"/>
      <c r="M284" s="385"/>
    </row>
    <row r="285" spans="2:13" x14ac:dyDescent="0.25">
      <c r="B285" s="385"/>
      <c r="C285" s="384"/>
      <c r="G285" s="385"/>
      <c r="H285" s="386"/>
      <c r="I285" s="385"/>
      <c r="J285" s="385"/>
      <c r="K285" s="385"/>
      <c r="L285" s="385"/>
      <c r="M285" s="385"/>
    </row>
    <row r="286" spans="2:13" x14ac:dyDescent="0.25">
      <c r="B286" s="379"/>
      <c r="C286" s="384"/>
      <c r="G286" s="385"/>
      <c r="H286" s="386"/>
      <c r="I286" s="385"/>
      <c r="J286" s="385"/>
      <c r="K286" s="385"/>
      <c r="L286" s="385"/>
      <c r="M286" s="385"/>
    </row>
    <row r="287" spans="2:13" x14ac:dyDescent="0.25">
      <c r="C287" s="384"/>
      <c r="G287" s="385"/>
      <c r="H287" s="386"/>
      <c r="I287" s="385"/>
      <c r="J287" s="385"/>
      <c r="K287" s="385"/>
      <c r="L287" s="385"/>
      <c r="M287" s="385"/>
    </row>
    <row r="288" spans="2:13" x14ac:dyDescent="0.25">
      <c r="B288" s="385"/>
      <c r="C288" s="384"/>
      <c r="G288" s="385"/>
      <c r="H288" s="386"/>
      <c r="I288" s="385"/>
      <c r="J288" s="385"/>
      <c r="K288" s="385"/>
      <c r="L288" s="385"/>
      <c r="M288" s="385"/>
    </row>
    <row r="289" spans="2:14" x14ac:dyDescent="0.25">
      <c r="B289" s="385"/>
      <c r="C289" s="384"/>
      <c r="G289" s="385"/>
      <c r="H289" s="386"/>
      <c r="I289" s="385"/>
      <c r="J289" s="385"/>
      <c r="K289" s="385"/>
      <c r="L289" s="385"/>
      <c r="M289" s="385"/>
    </row>
    <row r="290" spans="2:14" x14ac:dyDescent="0.25">
      <c r="B290" s="379"/>
      <c r="C290" s="384"/>
      <c r="G290" s="385"/>
      <c r="H290" s="386"/>
      <c r="I290" s="385"/>
      <c r="J290" s="385"/>
      <c r="K290" s="385"/>
      <c r="L290" s="385"/>
      <c r="M290" s="385"/>
    </row>
    <row r="291" spans="2:14" x14ac:dyDescent="0.25">
      <c r="C291" s="384"/>
      <c r="G291" s="385"/>
      <c r="H291" s="386"/>
      <c r="I291" s="385"/>
      <c r="J291" s="385"/>
      <c r="K291" s="385"/>
      <c r="L291" s="385"/>
      <c r="M291" s="385"/>
    </row>
    <row r="292" spans="2:14" x14ac:dyDescent="0.25">
      <c r="B292" s="570"/>
      <c r="C292" s="390"/>
      <c r="G292" s="385"/>
      <c r="H292" s="386"/>
      <c r="I292" s="385"/>
      <c r="J292" s="385"/>
      <c r="K292" s="385"/>
      <c r="L292" s="385"/>
      <c r="M292" s="385"/>
    </row>
    <row r="293" spans="2:14" x14ac:dyDescent="0.25">
      <c r="B293" s="379"/>
      <c r="C293" s="384"/>
      <c r="G293" s="385"/>
      <c r="H293" s="386"/>
      <c r="I293" s="385"/>
      <c r="J293" s="385"/>
      <c r="K293" s="385"/>
      <c r="L293" s="385"/>
      <c r="M293" s="385"/>
    </row>
    <row r="294" spans="2:14" x14ac:dyDescent="0.25">
      <c r="B294" s="379"/>
      <c r="C294" s="384"/>
      <c r="G294" s="385"/>
      <c r="H294" s="386"/>
      <c r="I294" s="385"/>
      <c r="J294" s="385"/>
      <c r="K294" s="385"/>
      <c r="L294" s="385"/>
      <c r="M294" s="385"/>
    </row>
    <row r="295" spans="2:14" x14ac:dyDescent="0.25">
      <c r="C295" s="390"/>
      <c r="G295" s="385"/>
      <c r="H295" s="386"/>
      <c r="I295" s="385"/>
      <c r="J295" s="385"/>
      <c r="K295" s="385"/>
      <c r="L295" s="385"/>
      <c r="M295" s="385"/>
    </row>
    <row r="296" spans="2:14" x14ac:dyDescent="0.25">
      <c r="G296" s="385"/>
      <c r="H296" s="386"/>
      <c r="I296" s="385"/>
      <c r="J296" s="385"/>
      <c r="K296" s="385"/>
      <c r="L296" s="385"/>
      <c r="M296" s="385"/>
    </row>
    <row r="297" spans="2:14" x14ac:dyDescent="0.25">
      <c r="K297" s="391"/>
      <c r="L297" s="391"/>
      <c r="M297" s="391"/>
      <c r="N297" s="392"/>
    </row>
    <row r="298" spans="2:14" x14ac:dyDescent="0.25">
      <c r="K298" s="391"/>
      <c r="L298" s="391"/>
      <c r="M298" s="391"/>
      <c r="N298" s="392"/>
    </row>
    <row r="299" spans="2:14" x14ac:dyDescent="0.25">
      <c r="K299" s="391"/>
      <c r="L299" s="391"/>
      <c r="M299" s="391"/>
      <c r="N299" s="392"/>
    </row>
    <row r="300" spans="2:14" x14ac:dyDescent="0.25">
      <c r="K300" s="391"/>
      <c r="L300" s="391"/>
      <c r="M300" s="391"/>
      <c r="N300" s="392"/>
    </row>
    <row r="301" spans="2:14" x14ac:dyDescent="0.25">
      <c r="K301" s="391"/>
      <c r="L301" s="391"/>
      <c r="M301" s="391"/>
      <c r="N301" s="392"/>
    </row>
    <row r="302" spans="2:14" x14ac:dyDescent="0.25">
      <c r="K302" s="391"/>
      <c r="L302" s="391"/>
      <c r="M302" s="391"/>
    </row>
  </sheetData>
  <autoFilter ref="A9:H24"/>
  <mergeCells count="13">
    <mergeCell ref="A1:H2"/>
    <mergeCell ref="A24:D24"/>
    <mergeCell ref="G24:H24"/>
    <mergeCell ref="A4:H4"/>
    <mergeCell ref="A5:H5"/>
    <mergeCell ref="A6:H6"/>
    <mergeCell ref="E9:E10"/>
    <mergeCell ref="H9:H10"/>
    <mergeCell ref="A9:A10"/>
    <mergeCell ref="B9:B10"/>
    <mergeCell ref="C9:C10"/>
    <mergeCell ref="D9:D10"/>
    <mergeCell ref="G9:G10"/>
  </mergeCells>
  <pageMargins left="0.7" right="0.7" top="0.75" bottom="0.75" header="0.3" footer="0.3"/>
  <pageSetup paperSize="9" scale="7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C000"/>
    <pageSetUpPr fitToPage="1"/>
  </sheetPr>
  <dimension ref="B1:K45"/>
  <sheetViews>
    <sheetView view="pageBreakPreview" zoomScale="80" zoomScaleNormal="100" zoomScaleSheetLayoutView="80" workbookViewId="0">
      <selection activeCell="J12" sqref="J12"/>
    </sheetView>
  </sheetViews>
  <sheetFormatPr defaultColWidth="9.140625" defaultRowHeight="15" x14ac:dyDescent="0.25"/>
  <cols>
    <col min="1" max="1" width="5.85546875" style="32" customWidth="1"/>
    <col min="2" max="2" width="8.140625" style="29" customWidth="1"/>
    <col min="3" max="3" width="50" style="30" customWidth="1"/>
    <col min="4" max="4" width="16.7109375" style="31" customWidth="1"/>
    <col min="5" max="5" width="13" style="32" customWidth="1"/>
    <col min="6" max="6" width="15.28515625" style="32" customWidth="1"/>
    <col min="7" max="7" width="5" style="46" customWidth="1"/>
    <col min="8" max="8" width="11.7109375" style="32" customWidth="1"/>
    <col min="9" max="9" width="19.42578125" style="32" customWidth="1"/>
    <col min="10" max="10" width="12.7109375" style="32" customWidth="1"/>
    <col min="11" max="11" width="10.7109375" style="32" customWidth="1"/>
    <col min="12" max="16384" width="9.140625" style="32"/>
  </cols>
  <sheetData>
    <row r="1" spans="2:11" ht="13.9" x14ac:dyDescent="0.3">
      <c r="G1" s="32"/>
    </row>
    <row r="2" spans="2:11" ht="23.45" customHeight="1" x14ac:dyDescent="0.25">
      <c r="B2" s="396" t="s">
        <v>1786</v>
      </c>
      <c r="C2" s="411"/>
      <c r="D2" s="36"/>
      <c r="E2" s="36"/>
      <c r="F2" s="36"/>
      <c r="G2" s="32"/>
    </row>
    <row r="3" spans="2:11" ht="13.9" x14ac:dyDescent="0.3">
      <c r="B3" s="396" t="s">
        <v>348</v>
      </c>
      <c r="C3" s="411"/>
      <c r="D3" s="36"/>
      <c r="E3" s="36"/>
      <c r="F3" s="36"/>
      <c r="G3" s="32"/>
      <c r="I3" s="32" t="s">
        <v>17</v>
      </c>
    </row>
    <row r="4" spans="2:11" x14ac:dyDescent="0.25">
      <c r="B4" s="1272" t="str">
        <f>DG!C62</f>
        <v>OBIECT 3 - Amenajări exterioare</v>
      </c>
      <c r="C4" s="1273"/>
      <c r="D4" s="1273"/>
      <c r="E4" s="1273"/>
      <c r="F4" s="1273"/>
      <c r="G4" s="32"/>
      <c r="I4" s="35">
        <f>0.19</f>
        <v>0.19</v>
      </c>
    </row>
    <row r="5" spans="2:11" x14ac:dyDescent="0.25">
      <c r="B5" s="1273"/>
      <c r="C5" s="1273"/>
      <c r="D5" s="1273"/>
      <c r="E5" s="1273"/>
      <c r="F5" s="1273"/>
      <c r="G5" s="32"/>
    </row>
    <row r="6" spans="2:11" ht="14.45" thickBot="1" x14ac:dyDescent="0.35">
      <c r="B6" s="580" t="s">
        <v>1499</v>
      </c>
      <c r="C6" s="843">
        <f>DG!$E$128</f>
        <v>43692</v>
      </c>
      <c r="D6" s="34"/>
      <c r="E6" s="34"/>
      <c r="F6" s="34"/>
      <c r="G6" s="32"/>
    </row>
    <row r="7" spans="2:11" ht="13.9" x14ac:dyDescent="0.3">
      <c r="B7" s="98"/>
      <c r="C7" s="99"/>
      <c r="D7" s="100"/>
      <c r="E7" s="100"/>
      <c r="F7" s="830"/>
      <c r="G7" s="32"/>
    </row>
    <row r="8" spans="2:11" x14ac:dyDescent="0.25">
      <c r="B8" s="1274" t="s">
        <v>11</v>
      </c>
      <c r="C8" s="1275" t="s">
        <v>1273</v>
      </c>
      <c r="D8" s="427" t="s">
        <v>68</v>
      </c>
      <c r="E8" s="427" t="s">
        <v>17</v>
      </c>
      <c r="F8" s="831" t="s">
        <v>18</v>
      </c>
      <c r="G8" s="32"/>
    </row>
    <row r="9" spans="2:11" x14ac:dyDescent="0.25">
      <c r="B9" s="1274"/>
      <c r="C9" s="1275"/>
      <c r="D9" s="427" t="s">
        <v>1274</v>
      </c>
      <c r="E9" s="427" t="s">
        <v>1274</v>
      </c>
      <c r="F9" s="831" t="s">
        <v>1274</v>
      </c>
      <c r="G9" s="32"/>
    </row>
    <row r="10" spans="2:11" ht="14.45" x14ac:dyDescent="0.3">
      <c r="B10" s="101">
        <v>1</v>
      </c>
      <c r="C10" s="97">
        <v>2</v>
      </c>
      <c r="D10" s="97">
        <v>3</v>
      </c>
      <c r="E10" s="97">
        <v>4</v>
      </c>
      <c r="F10" s="832">
        <v>5</v>
      </c>
      <c r="G10" s="32"/>
    </row>
    <row r="11" spans="2:11" ht="13.9" x14ac:dyDescent="0.3">
      <c r="B11" s="1278" t="s">
        <v>1275</v>
      </c>
      <c r="C11" s="1279"/>
      <c r="D11" s="1279"/>
      <c r="E11" s="1279"/>
      <c r="F11" s="1280"/>
      <c r="G11" s="32"/>
    </row>
    <row r="12" spans="2:11" ht="13.9" x14ac:dyDescent="0.3">
      <c r="B12" s="37">
        <v>4.0999999999999996</v>
      </c>
      <c r="C12" s="821" t="s">
        <v>1276</v>
      </c>
      <c r="D12" s="428" t="e">
        <f>SUM(D13:D16)</f>
        <v>#REF!</v>
      </c>
      <c r="E12" s="428" t="e">
        <f t="shared" ref="E12:F12" si="0">SUM(E13:E16)</f>
        <v>#REF!</v>
      </c>
      <c r="F12" s="833" t="e">
        <f t="shared" si="0"/>
        <v>#REF!</v>
      </c>
      <c r="G12" s="32"/>
    </row>
    <row r="13" spans="2:11" ht="27.6" x14ac:dyDescent="0.3">
      <c r="B13" s="37" t="s">
        <v>37</v>
      </c>
      <c r="C13" s="38" t="s">
        <v>1279</v>
      </c>
      <c r="D13" s="429" t="e">
        <f>#REF!</f>
        <v>#REF!</v>
      </c>
      <c r="E13" s="430" t="e">
        <f>D13*$I$4</f>
        <v>#REF!</v>
      </c>
      <c r="F13" s="834" t="e">
        <f>D13+E13</f>
        <v>#REF!</v>
      </c>
      <c r="G13" s="32"/>
      <c r="H13" s="28"/>
      <c r="I13" s="28"/>
      <c r="J13" s="39"/>
    </row>
    <row r="14" spans="2:11" ht="13.9" x14ac:dyDescent="0.3">
      <c r="B14" s="37" t="s">
        <v>38</v>
      </c>
      <c r="C14" s="38" t="s">
        <v>519</v>
      </c>
      <c r="D14" s="429" t="e">
        <f>#REF!</f>
        <v>#REF!</v>
      </c>
      <c r="E14" s="430" t="e">
        <f>D14*$I$4</f>
        <v>#REF!</v>
      </c>
      <c r="F14" s="834" t="e">
        <f>D14+E14</f>
        <v>#REF!</v>
      </c>
      <c r="G14" s="32"/>
      <c r="H14" s="28"/>
      <c r="I14" s="28"/>
      <c r="K14" s="40"/>
    </row>
    <row r="15" spans="2:11" ht="13.9" x14ac:dyDescent="0.3">
      <c r="B15" s="37" t="s">
        <v>1277</v>
      </c>
      <c r="C15" s="38" t="s">
        <v>70</v>
      </c>
      <c r="D15" s="429" t="e">
        <f>#REF!</f>
        <v>#REF!</v>
      </c>
      <c r="E15" s="430" t="e">
        <f>D15*$I$4</f>
        <v>#REF!</v>
      </c>
      <c r="F15" s="834" t="e">
        <f>D15+E15</f>
        <v>#REF!</v>
      </c>
      <c r="G15" s="32"/>
      <c r="H15" s="28"/>
      <c r="I15" s="28"/>
    </row>
    <row r="16" spans="2:11" ht="13.9" x14ac:dyDescent="0.3">
      <c r="B16" s="37" t="s">
        <v>1278</v>
      </c>
      <c r="C16" s="38" t="s">
        <v>1284</v>
      </c>
      <c r="D16" s="429" t="e">
        <f>SUM(D17:D22)</f>
        <v>#REF!</v>
      </c>
      <c r="E16" s="429" t="e">
        <f t="shared" ref="E16:F16" si="1">SUM(E17:E22)</f>
        <v>#REF!</v>
      </c>
      <c r="F16" s="835" t="e">
        <f t="shared" si="1"/>
        <v>#REF!</v>
      </c>
      <c r="G16" s="32"/>
      <c r="H16" s="28"/>
      <c r="I16" s="28"/>
    </row>
    <row r="17" spans="2:9" ht="13.9" x14ac:dyDescent="0.3">
      <c r="B17" s="37" t="s">
        <v>1283</v>
      </c>
      <c r="C17" s="38" t="s">
        <v>520</v>
      </c>
      <c r="D17" s="429" t="e">
        <f>#REF!</f>
        <v>#REF!</v>
      </c>
      <c r="E17" s="430" t="e">
        <f t="shared" ref="E17:E22" si="2">D17*$I$4</f>
        <v>#REF!</v>
      </c>
      <c r="F17" s="834" t="e">
        <f t="shared" ref="F17:F22" si="3">D17+E17</f>
        <v>#REF!</v>
      </c>
      <c r="G17" s="32"/>
      <c r="H17" s="28"/>
      <c r="I17" s="28"/>
    </row>
    <row r="18" spans="2:9" ht="13.9" x14ac:dyDescent="0.3">
      <c r="B18" s="37" t="s">
        <v>1285</v>
      </c>
      <c r="C18" s="38" t="s">
        <v>521</v>
      </c>
      <c r="D18" s="429" t="e">
        <f>#REF!</f>
        <v>#REF!</v>
      </c>
      <c r="E18" s="430" t="e">
        <f t="shared" si="2"/>
        <v>#REF!</v>
      </c>
      <c r="F18" s="834" t="e">
        <f t="shared" si="3"/>
        <v>#REF!</v>
      </c>
      <c r="G18" s="32"/>
      <c r="H18" s="28"/>
      <c r="I18" s="28"/>
    </row>
    <row r="19" spans="2:9" x14ac:dyDescent="0.25">
      <c r="B19" s="37" t="s">
        <v>1286</v>
      </c>
      <c r="C19" s="38" t="s">
        <v>69</v>
      </c>
      <c r="D19" s="429" t="e">
        <f>#REF!</f>
        <v>#REF!</v>
      </c>
      <c r="E19" s="430" t="e">
        <f t="shared" si="2"/>
        <v>#REF!</v>
      </c>
      <c r="F19" s="834" t="e">
        <f t="shared" si="3"/>
        <v>#REF!</v>
      </c>
      <c r="G19" s="32"/>
      <c r="H19" s="28"/>
      <c r="I19" s="28"/>
    </row>
    <row r="20" spans="2:9" x14ac:dyDescent="0.25">
      <c r="B20" s="37" t="s">
        <v>1287</v>
      </c>
      <c r="C20" s="38" t="s">
        <v>518</v>
      </c>
      <c r="D20" s="429" t="e">
        <f>#REF!</f>
        <v>#REF!</v>
      </c>
      <c r="E20" s="430" t="e">
        <f t="shared" si="2"/>
        <v>#REF!</v>
      </c>
      <c r="F20" s="834" t="e">
        <f t="shared" si="3"/>
        <v>#REF!</v>
      </c>
      <c r="G20" s="32"/>
      <c r="H20" s="28"/>
      <c r="I20" s="28"/>
    </row>
    <row r="21" spans="2:9" x14ac:dyDescent="0.25">
      <c r="B21" s="37" t="s">
        <v>1288</v>
      </c>
      <c r="C21" s="38" t="s">
        <v>517</v>
      </c>
      <c r="D21" s="429" t="e">
        <f>#REF!</f>
        <v>#REF!</v>
      </c>
      <c r="E21" s="430" t="e">
        <f t="shared" si="2"/>
        <v>#REF!</v>
      </c>
      <c r="F21" s="834" t="e">
        <f t="shared" si="3"/>
        <v>#REF!</v>
      </c>
      <c r="G21" s="32"/>
      <c r="H21" s="28"/>
      <c r="I21" s="28"/>
    </row>
    <row r="22" spans="2:9" x14ac:dyDescent="0.25">
      <c r="B22" s="37" t="s">
        <v>1289</v>
      </c>
      <c r="C22" s="38" t="s">
        <v>352</v>
      </c>
      <c r="D22" s="429" t="e">
        <f>#REF!</f>
        <v>#REF!</v>
      </c>
      <c r="E22" s="430" t="e">
        <f t="shared" si="2"/>
        <v>#REF!</v>
      </c>
      <c r="F22" s="834" t="e">
        <f t="shared" si="3"/>
        <v>#REF!</v>
      </c>
      <c r="G22" s="32"/>
      <c r="H22" s="28"/>
      <c r="I22" s="28"/>
    </row>
    <row r="23" spans="2:9" ht="13.9" x14ac:dyDescent="0.3">
      <c r="B23" s="1281" t="s">
        <v>1290</v>
      </c>
      <c r="C23" s="1282"/>
      <c r="D23" s="431" t="e">
        <f>D12</f>
        <v>#REF!</v>
      </c>
      <c r="E23" s="431" t="e">
        <f>E12</f>
        <v>#REF!</v>
      </c>
      <c r="F23" s="836" t="e">
        <f>F12</f>
        <v>#REF!</v>
      </c>
      <c r="G23" s="32"/>
      <c r="H23" s="28"/>
      <c r="I23" s="28"/>
    </row>
    <row r="24" spans="2:9" ht="13.9" x14ac:dyDescent="0.3">
      <c r="B24" s="37">
        <v>4.2</v>
      </c>
      <c r="C24" s="38" t="s">
        <v>1280</v>
      </c>
      <c r="D24" s="429">
        <f>D26*0.15</f>
        <v>0</v>
      </c>
      <c r="E24" s="430">
        <f>D24*$I$4</f>
        <v>0</v>
      </c>
      <c r="F24" s="834">
        <f>D24+E24</f>
        <v>0</v>
      </c>
      <c r="G24" s="32"/>
      <c r="H24" s="28"/>
      <c r="I24" s="28"/>
    </row>
    <row r="25" spans="2:9" ht="13.9" x14ac:dyDescent="0.3">
      <c r="B25" s="1281" t="s">
        <v>1291</v>
      </c>
      <c r="C25" s="1282"/>
      <c r="D25" s="432">
        <f t="shared" ref="D25:F25" si="4">D24</f>
        <v>0</v>
      </c>
      <c r="E25" s="432">
        <f t="shared" si="4"/>
        <v>0</v>
      </c>
      <c r="F25" s="837">
        <f t="shared" si="4"/>
        <v>0</v>
      </c>
      <c r="G25" s="32"/>
      <c r="H25" s="28"/>
      <c r="I25" s="28"/>
    </row>
    <row r="26" spans="2:9" ht="27.6" x14ac:dyDescent="0.3">
      <c r="B26" s="37">
        <v>4.3</v>
      </c>
      <c r="C26" s="38" t="s">
        <v>1281</v>
      </c>
      <c r="D26" s="435">
        <f>'03-LU'!F18</f>
        <v>0</v>
      </c>
      <c r="E26" s="430">
        <f>D26*$I$4</f>
        <v>0</v>
      </c>
      <c r="F26" s="834">
        <f>D26+E26</f>
        <v>0</v>
      </c>
      <c r="G26" s="32"/>
      <c r="H26" s="28"/>
      <c r="I26" s="28"/>
    </row>
    <row r="27" spans="2:9" ht="27.6" x14ac:dyDescent="0.3">
      <c r="B27" s="37">
        <v>4.4000000000000004</v>
      </c>
      <c r="C27" s="38" t="s">
        <v>1282</v>
      </c>
      <c r="D27" s="429">
        <v>0</v>
      </c>
      <c r="E27" s="430">
        <f>D27*$I$4</f>
        <v>0</v>
      </c>
      <c r="F27" s="834">
        <f>D27+E27</f>
        <v>0</v>
      </c>
      <c r="G27" s="32"/>
      <c r="H27" s="28"/>
      <c r="I27" s="28"/>
    </row>
    <row r="28" spans="2:9" x14ac:dyDescent="0.25">
      <c r="B28" s="37">
        <v>4.5</v>
      </c>
      <c r="C28" s="38" t="s">
        <v>46</v>
      </c>
      <c r="D28" s="429">
        <f>'03-LD'!F27</f>
        <v>0</v>
      </c>
      <c r="E28" s="430">
        <f>D28*$I$4</f>
        <v>0</v>
      </c>
      <c r="F28" s="834">
        <f>D28+E28</f>
        <v>0</v>
      </c>
      <c r="G28" s="32"/>
      <c r="H28" s="28"/>
      <c r="I28" s="28"/>
    </row>
    <row r="29" spans="2:9" ht="13.9" x14ac:dyDescent="0.3">
      <c r="B29" s="37">
        <v>4.5999999999999996</v>
      </c>
      <c r="C29" s="38" t="s">
        <v>48</v>
      </c>
      <c r="D29" s="429">
        <v>0</v>
      </c>
      <c r="E29" s="430">
        <f>D29*$I$4</f>
        <v>0</v>
      </c>
      <c r="F29" s="834">
        <f>D29+E29</f>
        <v>0</v>
      </c>
      <c r="G29" s="32"/>
      <c r="H29" s="28"/>
      <c r="I29" s="28"/>
    </row>
    <row r="30" spans="2:9" ht="13.9" x14ac:dyDescent="0.3">
      <c r="B30" s="1281" t="s">
        <v>1292</v>
      </c>
      <c r="C30" s="1282"/>
      <c r="D30" s="433">
        <f>SUM(D26:D29)</f>
        <v>0</v>
      </c>
      <c r="E30" s="433">
        <f>SUM(E26:E29)</f>
        <v>0</v>
      </c>
      <c r="F30" s="838">
        <f>SUM(F26:F29)</f>
        <v>0</v>
      </c>
      <c r="G30" s="32"/>
      <c r="H30" s="28"/>
      <c r="I30" s="28"/>
    </row>
    <row r="31" spans="2:9" ht="14.45" thickBot="1" x14ac:dyDescent="0.35">
      <c r="B31" s="1276" t="s">
        <v>1293</v>
      </c>
      <c r="C31" s="1277"/>
      <c r="D31" s="434" t="e">
        <f>D23+D25+D30</f>
        <v>#REF!</v>
      </c>
      <c r="E31" s="434" t="e">
        <f>E23+E25+E30</f>
        <v>#REF!</v>
      </c>
      <c r="F31" s="839" t="e">
        <f>F23+F25+F30</f>
        <v>#REF!</v>
      </c>
      <c r="G31" s="32"/>
      <c r="H31" s="28"/>
      <c r="I31" s="807"/>
    </row>
    <row r="32" spans="2:9" x14ac:dyDescent="0.25">
      <c r="B32" s="41"/>
      <c r="C32" s="42"/>
      <c r="D32" s="43"/>
      <c r="E32" s="43"/>
      <c r="F32" s="43"/>
      <c r="G32" s="32"/>
    </row>
    <row r="33" spans="2:7" x14ac:dyDescent="0.2">
      <c r="B33" s="41"/>
      <c r="C33" s="42"/>
      <c r="D33" s="43"/>
      <c r="E33" s="43"/>
      <c r="F33" s="44" t="s">
        <v>82</v>
      </c>
      <c r="G33" s="32"/>
    </row>
    <row r="34" spans="2:7" x14ac:dyDescent="0.25">
      <c r="B34" s="41"/>
      <c r="C34" s="42"/>
      <c r="D34" s="43"/>
      <c r="E34" s="808"/>
      <c r="F34" s="45"/>
    </row>
    <row r="35" spans="2:7" x14ac:dyDescent="0.2">
      <c r="B35" s="41"/>
      <c r="C35" s="42"/>
      <c r="D35" s="43"/>
      <c r="E35" s="43"/>
      <c r="F35" s="44" t="s">
        <v>1516</v>
      </c>
    </row>
    <row r="36" spans="2:7" x14ac:dyDescent="0.25">
      <c r="B36" s="41"/>
      <c r="C36" s="42"/>
      <c r="D36" s="43"/>
      <c r="E36" s="43"/>
      <c r="F36" s="45" t="s">
        <v>83</v>
      </c>
    </row>
    <row r="37" spans="2:7" x14ac:dyDescent="0.25">
      <c r="B37" s="41"/>
      <c r="C37" s="42"/>
      <c r="D37" s="43"/>
      <c r="E37" s="43"/>
      <c r="F37" s="45" t="s">
        <v>1517</v>
      </c>
    </row>
    <row r="45" spans="2:7" x14ac:dyDescent="0.25">
      <c r="F45" s="46"/>
      <c r="G45" s="32"/>
    </row>
  </sheetData>
  <protectedRanges>
    <protectedRange sqref="H13:I31" name="Range1_1"/>
  </protectedRanges>
  <mergeCells count="8">
    <mergeCell ref="B30:C30"/>
    <mergeCell ref="B31:C31"/>
    <mergeCell ref="B4:F5"/>
    <mergeCell ref="B8:B9"/>
    <mergeCell ref="C8:C9"/>
    <mergeCell ref="B11:F11"/>
    <mergeCell ref="B23:C23"/>
    <mergeCell ref="B25:C25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43</vt:i4>
      </vt:variant>
      <vt:variant>
        <vt:lpstr>Named Ranges</vt:lpstr>
      </vt:variant>
      <vt:variant>
        <vt:i4>38</vt:i4>
      </vt:variant>
    </vt:vector>
  </HeadingPairs>
  <TitlesOfParts>
    <vt:vector size="81" baseType="lpstr">
      <vt:lpstr>GRAFIC</vt:lpstr>
      <vt:lpstr>DG - v2</vt:lpstr>
      <vt:lpstr>01-DO</vt:lpstr>
      <vt:lpstr>DG</vt:lpstr>
      <vt:lpstr>DG-cap3</vt:lpstr>
      <vt:lpstr>01-DO Max</vt:lpstr>
      <vt:lpstr>01-LD</vt:lpstr>
      <vt:lpstr>02-LD</vt:lpstr>
      <vt:lpstr>03-DO</vt:lpstr>
      <vt:lpstr>03-LU</vt:lpstr>
      <vt:lpstr>03-LD</vt:lpstr>
      <vt:lpstr>04-DO</vt:lpstr>
      <vt:lpstr>04-LU</vt:lpstr>
      <vt:lpstr>04-LD</vt:lpstr>
      <vt:lpstr>05-DO</vt:lpstr>
      <vt:lpstr>05-LU</vt:lpstr>
      <vt:lpstr>05-LD</vt:lpstr>
      <vt:lpstr>06-DO</vt:lpstr>
      <vt:lpstr>06-LD</vt:lpstr>
      <vt:lpstr>06-LU</vt:lpstr>
      <vt:lpstr>07-DO</vt:lpstr>
      <vt:lpstr>07-LU</vt:lpstr>
      <vt:lpstr>07-LD</vt:lpstr>
      <vt:lpstr>08-DO</vt:lpstr>
      <vt:lpstr>08-LU</vt:lpstr>
      <vt:lpstr>08-LD</vt:lpstr>
      <vt:lpstr>09-DO</vt:lpstr>
      <vt:lpstr>10-DO</vt:lpstr>
      <vt:lpstr>10-LU</vt:lpstr>
      <vt:lpstr>11-DO</vt:lpstr>
      <vt:lpstr>12-DO</vt:lpstr>
      <vt:lpstr>13-DO</vt:lpstr>
      <vt:lpstr>13-LU</vt:lpstr>
      <vt:lpstr>14-DO</vt:lpstr>
      <vt:lpstr>14-LU</vt:lpstr>
      <vt:lpstr>LC-alternativa</vt:lpstr>
      <vt:lpstr>0X-LU</vt:lpstr>
      <vt:lpstr>0X-LD</vt:lpstr>
      <vt:lpstr>Draft-LC</vt:lpstr>
      <vt:lpstr>Alte preturi</vt:lpstr>
      <vt:lpstr>Liste cantitati-auto</vt:lpstr>
      <vt:lpstr>preturi-TeCoIz</vt:lpstr>
      <vt:lpstr>list-TeCoIz</vt:lpstr>
      <vt:lpstr>lista_lucrari</vt:lpstr>
      <vt:lpstr>'01-DO'!Print_Area</vt:lpstr>
      <vt:lpstr>'01-DO Max'!Print_Area</vt:lpstr>
      <vt:lpstr>'01-LD'!Print_Area</vt:lpstr>
      <vt:lpstr>'02-LD'!Print_Area</vt:lpstr>
      <vt:lpstr>'03-DO'!Print_Area</vt:lpstr>
      <vt:lpstr>'03-LD'!Print_Area</vt:lpstr>
      <vt:lpstr>'03-LU'!Print_Area</vt:lpstr>
      <vt:lpstr>'04-DO'!Print_Area</vt:lpstr>
      <vt:lpstr>'04-LD'!Print_Area</vt:lpstr>
      <vt:lpstr>'04-LU'!Print_Area</vt:lpstr>
      <vt:lpstr>'05-DO'!Print_Area</vt:lpstr>
      <vt:lpstr>'05-LD'!Print_Area</vt:lpstr>
      <vt:lpstr>'05-LU'!Print_Area</vt:lpstr>
      <vt:lpstr>'06-DO'!Print_Area</vt:lpstr>
      <vt:lpstr>'06-LD'!Print_Area</vt:lpstr>
      <vt:lpstr>'06-LU'!Print_Area</vt:lpstr>
      <vt:lpstr>'07-DO'!Print_Area</vt:lpstr>
      <vt:lpstr>'07-LD'!Print_Area</vt:lpstr>
      <vt:lpstr>'07-LU'!Print_Area</vt:lpstr>
      <vt:lpstr>'08-DO'!Print_Area</vt:lpstr>
      <vt:lpstr>'08-LD'!Print_Area</vt:lpstr>
      <vt:lpstr>'08-LU'!Print_Area</vt:lpstr>
      <vt:lpstr>'09-DO'!Print_Area</vt:lpstr>
      <vt:lpstr>'0X-LD'!Print_Area</vt:lpstr>
      <vt:lpstr>'0X-LU'!Print_Area</vt:lpstr>
      <vt:lpstr>'10-DO'!Print_Area</vt:lpstr>
      <vt:lpstr>'10-LU'!Print_Area</vt:lpstr>
      <vt:lpstr>'11-DO'!Print_Area</vt:lpstr>
      <vt:lpstr>'12-DO'!Print_Area</vt:lpstr>
      <vt:lpstr>'13-DO'!Print_Area</vt:lpstr>
      <vt:lpstr>'13-LU'!Print_Area</vt:lpstr>
      <vt:lpstr>'14-DO'!Print_Area</vt:lpstr>
      <vt:lpstr>'14-LU'!Print_Area</vt:lpstr>
      <vt:lpstr>DG!Print_Area</vt:lpstr>
      <vt:lpstr>'DG - v2'!Print_Area</vt:lpstr>
      <vt:lpstr>'DG-cap3'!Print_Area</vt:lpstr>
      <vt:lpstr>GRAFIC!Print_Area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Petrariu</dc:creator>
  <cp:lastModifiedBy>User</cp:lastModifiedBy>
  <cp:lastPrinted>2019-11-14T19:21:48Z</cp:lastPrinted>
  <dcterms:created xsi:type="dcterms:W3CDTF">2016-11-28T11:45:30Z</dcterms:created>
  <dcterms:modified xsi:type="dcterms:W3CDTF">2019-11-19T19:17:46Z</dcterms:modified>
</cp:coreProperties>
</file>